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Denne_projektmappe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haaningogmerrald.sharepoint.com/sites/HaaningMerrald/Shared Documents/A5 Kunder/Furesø/Økologimåling/2025 Q3/"/>
    </mc:Choice>
  </mc:AlternateContent>
  <xr:revisionPtr revIDLastSave="2" documentId="8_{8CE9216F-76EF-4DD4-9E58-4CBB9674F18B}" xr6:coauthVersionLast="47" xr6:coauthVersionMax="47" xr10:uidLastSave="{5E2FAA4F-BE5D-4A9B-AF2E-FA14D9DCE1DD}"/>
  <bookViews>
    <workbookView xWindow="28680" yWindow="-120" windowWidth="51840" windowHeight="21120" tabRatio="746" xr2:uid="{00000000-000D-0000-FFFF-FFFF00000000}"/>
  </bookViews>
  <sheets>
    <sheet name="Spisemærker" sheetId="13" r:id="rId1"/>
    <sheet name="Øko% kommunale køkk. m. smiley" sheetId="19" r:id="rId2"/>
    <sheet name="Øko% pr. område" sheetId="22" r:id="rId3"/>
    <sheet name="Hørkram Q3" sheetId="36" state="hidden" r:id="rId4"/>
    <sheet name="Nemlig Q3" sheetId="34" state="hidden" r:id="rId5"/>
    <sheet name="Øko% Alle køkkener" sheetId="3" r:id="rId6"/>
  </sheets>
  <definedNames>
    <definedName name="_xlnm._FilterDatabase" localSheetId="4" hidden="1">'Nemlig Q3'!$A$1:$H$64</definedName>
    <definedName name="_xlnm._FilterDatabase" localSheetId="5" hidden="1">'Øko% Alle køkkener'!$A$4:$AL$115</definedName>
    <definedName name="_xlnm._FilterDatabase" localSheetId="1" hidden="1">'Øko% kommunale køkk. m. smiley'!$A$4:$P$56</definedName>
  </definedNames>
  <calcPr calcId="191029"/>
  <pivotCaches>
    <pivotCache cacheId="8" r:id="rId7"/>
  </pivotCaches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3" i="3" l="1"/>
  <c r="T113" i="3" l="1"/>
  <c r="L5" i="3"/>
  <c r="O103" i="3"/>
  <c r="N103" i="3"/>
  <c r="O85" i="3"/>
  <c r="N85" i="3"/>
  <c r="O75" i="3"/>
  <c r="N75" i="3"/>
  <c r="O72" i="3"/>
  <c r="N72" i="3"/>
  <c r="O48" i="3"/>
  <c r="N48" i="3"/>
  <c r="N105" i="3"/>
  <c r="O105" i="3"/>
  <c r="N106" i="3"/>
  <c r="O106" i="3"/>
  <c r="N107" i="3"/>
  <c r="O107" i="3"/>
  <c r="N108" i="3"/>
  <c r="O108" i="3"/>
  <c r="N109" i="3"/>
  <c r="O109" i="3"/>
  <c r="N110" i="3"/>
  <c r="O110" i="3"/>
  <c r="N111" i="3"/>
  <c r="O111" i="3"/>
  <c r="N112" i="3"/>
  <c r="O112" i="3"/>
  <c r="N113" i="3"/>
  <c r="O113" i="3"/>
  <c r="N114" i="3"/>
  <c r="O114" i="3"/>
  <c r="O104" i="3"/>
  <c r="N104" i="3"/>
  <c r="N87" i="3"/>
  <c r="O87" i="3"/>
  <c r="N88" i="3"/>
  <c r="O88" i="3"/>
  <c r="N89" i="3"/>
  <c r="O89" i="3"/>
  <c r="N90" i="3"/>
  <c r="O90" i="3"/>
  <c r="N91" i="3"/>
  <c r="O91" i="3"/>
  <c r="N92" i="3"/>
  <c r="O92" i="3"/>
  <c r="N93" i="3"/>
  <c r="O93" i="3"/>
  <c r="N94" i="3"/>
  <c r="O94" i="3"/>
  <c r="N95" i="3"/>
  <c r="O95" i="3"/>
  <c r="N96" i="3"/>
  <c r="O96" i="3"/>
  <c r="N97" i="3"/>
  <c r="O97" i="3"/>
  <c r="N98" i="3"/>
  <c r="O98" i="3"/>
  <c r="N99" i="3"/>
  <c r="O99" i="3"/>
  <c r="N100" i="3"/>
  <c r="O100" i="3"/>
  <c r="N101" i="3"/>
  <c r="O101" i="3"/>
  <c r="N102" i="3"/>
  <c r="O102" i="3"/>
  <c r="O86" i="3"/>
  <c r="N86" i="3"/>
  <c r="N77" i="3"/>
  <c r="O77" i="3"/>
  <c r="N78" i="3"/>
  <c r="O78" i="3"/>
  <c r="N79" i="3"/>
  <c r="O79" i="3"/>
  <c r="N80" i="3"/>
  <c r="O80" i="3"/>
  <c r="N81" i="3"/>
  <c r="O81" i="3"/>
  <c r="N82" i="3"/>
  <c r="O82" i="3"/>
  <c r="N83" i="3"/>
  <c r="O83" i="3"/>
  <c r="N84" i="3"/>
  <c r="O84" i="3"/>
  <c r="O76" i="3"/>
  <c r="N76" i="3"/>
  <c r="O74" i="3"/>
  <c r="N74" i="3"/>
  <c r="O73" i="3"/>
  <c r="N73" i="3"/>
  <c r="N50" i="3"/>
  <c r="O50" i="3"/>
  <c r="N51" i="3"/>
  <c r="O51" i="3"/>
  <c r="N52" i="3"/>
  <c r="O52" i="3"/>
  <c r="N53" i="3"/>
  <c r="O53" i="3"/>
  <c r="N54" i="3"/>
  <c r="O54" i="3"/>
  <c r="N55" i="3"/>
  <c r="O55" i="3"/>
  <c r="N56" i="3"/>
  <c r="O56" i="3"/>
  <c r="N57" i="3"/>
  <c r="O57" i="3"/>
  <c r="N58" i="3"/>
  <c r="O58" i="3"/>
  <c r="N59" i="3"/>
  <c r="O59" i="3"/>
  <c r="N60" i="3"/>
  <c r="O60" i="3"/>
  <c r="N61" i="3"/>
  <c r="O61" i="3"/>
  <c r="N62" i="3"/>
  <c r="O62" i="3"/>
  <c r="N63" i="3"/>
  <c r="O63" i="3"/>
  <c r="N64" i="3"/>
  <c r="O64" i="3"/>
  <c r="N65" i="3"/>
  <c r="O65" i="3"/>
  <c r="N66" i="3"/>
  <c r="O66" i="3"/>
  <c r="N67" i="3"/>
  <c r="O67" i="3"/>
  <c r="N68" i="3"/>
  <c r="O68" i="3"/>
  <c r="N69" i="3"/>
  <c r="O69" i="3"/>
  <c r="N70" i="3"/>
  <c r="O70" i="3"/>
  <c r="N71" i="3"/>
  <c r="O71" i="3"/>
  <c r="O49" i="3"/>
  <c r="N49" i="3"/>
  <c r="N7" i="3"/>
  <c r="O7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2" i="3"/>
  <c r="O32" i="3"/>
  <c r="N33" i="3"/>
  <c r="O33" i="3"/>
  <c r="N34" i="3"/>
  <c r="O34" i="3"/>
  <c r="N35" i="3"/>
  <c r="O35" i="3"/>
  <c r="N36" i="3"/>
  <c r="O36" i="3"/>
  <c r="N37" i="3"/>
  <c r="O37" i="3"/>
  <c r="N38" i="3"/>
  <c r="O38" i="3"/>
  <c r="N39" i="3"/>
  <c r="O39" i="3"/>
  <c r="N40" i="3"/>
  <c r="O40" i="3"/>
  <c r="N41" i="3"/>
  <c r="O41" i="3"/>
  <c r="N42" i="3"/>
  <c r="O42" i="3"/>
  <c r="N43" i="3"/>
  <c r="O43" i="3"/>
  <c r="N44" i="3"/>
  <c r="O44" i="3"/>
  <c r="N45" i="3"/>
  <c r="O45" i="3"/>
  <c r="N46" i="3"/>
  <c r="O46" i="3"/>
  <c r="N47" i="3"/>
  <c r="O47" i="3"/>
  <c r="O6" i="3"/>
  <c r="N6" i="3"/>
  <c r="Q85" i="3"/>
  <c r="S70" i="3"/>
  <c r="S75" i="3"/>
  <c r="S58" i="3"/>
  <c r="S54" i="3"/>
  <c r="S56" i="3" l="1"/>
  <c r="S15" i="3"/>
  <c r="S14" i="3"/>
  <c r="M73" i="3" l="1"/>
  <c r="M105" i="3"/>
  <c r="L105" i="3"/>
  <c r="M52" i="3"/>
  <c r="L52" i="3"/>
  <c r="L73" i="3"/>
  <c r="L75" i="3"/>
  <c r="M75" i="3"/>
  <c r="L76" i="3"/>
  <c r="M76" i="3"/>
  <c r="L77" i="3"/>
  <c r="M77" i="3"/>
  <c r="L78" i="3"/>
  <c r="M78" i="3"/>
  <c r="L79" i="3"/>
  <c r="M79" i="3"/>
  <c r="L80" i="3"/>
  <c r="M80" i="3"/>
  <c r="L81" i="3"/>
  <c r="M81" i="3"/>
  <c r="L82" i="3"/>
  <c r="M82" i="3"/>
  <c r="L83" i="3"/>
  <c r="M83" i="3"/>
  <c r="L84" i="3"/>
  <c r="M84" i="3"/>
  <c r="L85" i="3"/>
  <c r="M85" i="3"/>
  <c r="L86" i="3"/>
  <c r="M86" i="3"/>
  <c r="L87" i="3"/>
  <c r="M87" i="3"/>
  <c r="L88" i="3"/>
  <c r="M88" i="3"/>
  <c r="L89" i="3"/>
  <c r="M89" i="3"/>
  <c r="L90" i="3"/>
  <c r="M90" i="3"/>
  <c r="L91" i="3"/>
  <c r="M91" i="3"/>
  <c r="L92" i="3"/>
  <c r="M92" i="3"/>
  <c r="L93" i="3"/>
  <c r="M93" i="3"/>
  <c r="L94" i="3"/>
  <c r="M94" i="3"/>
  <c r="L95" i="3"/>
  <c r="M95" i="3"/>
  <c r="L96" i="3"/>
  <c r="M96" i="3"/>
  <c r="L97" i="3"/>
  <c r="M97" i="3"/>
  <c r="L98" i="3"/>
  <c r="M98" i="3"/>
  <c r="L99" i="3"/>
  <c r="M99" i="3"/>
  <c r="L100" i="3"/>
  <c r="M100" i="3"/>
  <c r="L101" i="3"/>
  <c r="M101" i="3"/>
  <c r="L102" i="3"/>
  <c r="M102" i="3"/>
  <c r="L103" i="3"/>
  <c r="M103" i="3"/>
  <c r="L104" i="3"/>
  <c r="M104" i="3"/>
  <c r="L106" i="3"/>
  <c r="M106" i="3"/>
  <c r="L107" i="3"/>
  <c r="M107" i="3"/>
  <c r="L108" i="3"/>
  <c r="M108" i="3"/>
  <c r="L109" i="3"/>
  <c r="M109" i="3"/>
  <c r="L110" i="3"/>
  <c r="M110" i="3"/>
  <c r="L111" i="3"/>
  <c r="M111" i="3"/>
  <c r="L112" i="3"/>
  <c r="M112" i="3"/>
  <c r="L113" i="3"/>
  <c r="M113" i="3"/>
  <c r="M74" i="3"/>
  <c r="L74" i="3"/>
  <c r="L67" i="3"/>
  <c r="M67" i="3"/>
  <c r="L68" i="3"/>
  <c r="M68" i="3"/>
  <c r="L69" i="3"/>
  <c r="M69" i="3"/>
  <c r="L70" i="3"/>
  <c r="M70" i="3"/>
  <c r="L71" i="3"/>
  <c r="M71" i="3"/>
  <c r="L72" i="3"/>
  <c r="M72" i="3"/>
  <c r="L58" i="3"/>
  <c r="M58" i="3"/>
  <c r="L59" i="3"/>
  <c r="M59" i="3"/>
  <c r="L60" i="3"/>
  <c r="M60" i="3"/>
  <c r="L61" i="3"/>
  <c r="M61" i="3"/>
  <c r="L62" i="3"/>
  <c r="M62" i="3"/>
  <c r="L63" i="3"/>
  <c r="M63" i="3"/>
  <c r="L64" i="3"/>
  <c r="M64" i="3"/>
  <c r="L65" i="3"/>
  <c r="M65" i="3"/>
  <c r="L66" i="3"/>
  <c r="M66" i="3"/>
  <c r="M57" i="3"/>
  <c r="L57" i="3"/>
  <c r="L53" i="3"/>
  <c r="M53" i="3"/>
  <c r="L54" i="3"/>
  <c r="M54" i="3"/>
  <c r="L55" i="3"/>
  <c r="M55" i="3"/>
  <c r="L45" i="3"/>
  <c r="M45" i="3"/>
  <c r="L46" i="3"/>
  <c r="M46" i="3"/>
  <c r="L47" i="3"/>
  <c r="M47" i="3"/>
  <c r="L48" i="3"/>
  <c r="M48" i="3"/>
  <c r="L49" i="3"/>
  <c r="M49" i="3"/>
  <c r="L50" i="3"/>
  <c r="M50" i="3"/>
  <c r="L51" i="3"/>
  <c r="M51" i="3"/>
  <c r="M44" i="3"/>
  <c r="L44" i="3"/>
  <c r="L41" i="3"/>
  <c r="M41" i="3"/>
  <c r="L42" i="3"/>
  <c r="M42" i="3"/>
  <c r="L34" i="3"/>
  <c r="M34" i="3"/>
  <c r="L35" i="3"/>
  <c r="M35" i="3"/>
  <c r="L36" i="3"/>
  <c r="M36" i="3"/>
  <c r="L37" i="3"/>
  <c r="M37" i="3"/>
  <c r="L38" i="3"/>
  <c r="M38" i="3"/>
  <c r="L39" i="3"/>
  <c r="M39" i="3"/>
  <c r="L40" i="3"/>
  <c r="M40" i="3"/>
  <c r="L28" i="3"/>
  <c r="M28" i="3"/>
  <c r="L29" i="3"/>
  <c r="M29" i="3"/>
  <c r="L30" i="3"/>
  <c r="M30" i="3"/>
  <c r="L31" i="3"/>
  <c r="M31" i="3"/>
  <c r="L32" i="3"/>
  <c r="M32" i="3"/>
  <c r="L33" i="3"/>
  <c r="M33" i="3"/>
  <c r="L23" i="3"/>
  <c r="M23" i="3"/>
  <c r="L24" i="3"/>
  <c r="M24" i="3"/>
  <c r="L25" i="3"/>
  <c r="M25" i="3"/>
  <c r="L26" i="3"/>
  <c r="M26" i="3"/>
  <c r="L27" i="3"/>
  <c r="M27" i="3"/>
  <c r="L18" i="3"/>
  <c r="M18" i="3"/>
  <c r="L19" i="3"/>
  <c r="M19" i="3"/>
  <c r="L20" i="3"/>
  <c r="M20" i="3"/>
  <c r="L21" i="3"/>
  <c r="M21" i="3"/>
  <c r="L22" i="3"/>
  <c r="M22" i="3"/>
  <c r="L6" i="3"/>
  <c r="M6" i="3"/>
  <c r="L7" i="3"/>
  <c r="M7" i="3"/>
  <c r="L8" i="3"/>
  <c r="M8" i="3"/>
  <c r="L9" i="3"/>
  <c r="M9" i="3"/>
  <c r="L10" i="3"/>
  <c r="M10" i="3"/>
  <c r="L11" i="3"/>
  <c r="M11" i="3"/>
  <c r="L12" i="3"/>
  <c r="M12" i="3"/>
  <c r="L13" i="3"/>
  <c r="M13" i="3"/>
  <c r="L14" i="3"/>
  <c r="M14" i="3"/>
  <c r="L15" i="3"/>
  <c r="M15" i="3"/>
  <c r="L16" i="3"/>
  <c r="M16" i="3"/>
  <c r="L17" i="3"/>
  <c r="M17" i="3"/>
  <c r="M5" i="3"/>
  <c r="M114" i="3"/>
  <c r="M56" i="3"/>
  <c r="M43" i="3"/>
  <c r="L114" i="3"/>
  <c r="L56" i="3"/>
  <c r="L43" i="3"/>
  <c r="N53" i="34"/>
  <c r="F69" i="34"/>
  <c r="G69" i="34"/>
  <c r="M53" i="34"/>
  <c r="E69" i="34" l="1"/>
  <c r="H69" i="34"/>
  <c r="H71" i="34" s="1"/>
  <c r="E71" i="34" l="1"/>
  <c r="M39" i="19" l="1"/>
  <c r="L39" i="19"/>
  <c r="L20" i="19"/>
  <c r="J73" i="3" l="1"/>
  <c r="J74" i="3"/>
  <c r="J22" i="3"/>
  <c r="D20" i="19" s="1"/>
  <c r="K75" i="3"/>
  <c r="K74" i="3"/>
  <c r="A38" i="19"/>
  <c r="B38" i="19" s="1"/>
  <c r="F38" i="19"/>
  <c r="G38" i="19"/>
  <c r="J38" i="19"/>
  <c r="K38" i="19"/>
  <c r="L38" i="19"/>
  <c r="M38" i="19"/>
  <c r="N38" i="19"/>
  <c r="O38" i="19"/>
  <c r="J72" i="3"/>
  <c r="K72" i="3"/>
  <c r="E38" i="19" s="1"/>
  <c r="I72" i="3" l="1"/>
  <c r="C38" i="19" s="1"/>
  <c r="D38" i="19"/>
  <c r="I38" i="19"/>
  <c r="A38" i="13"/>
  <c r="B38" i="13" s="1"/>
  <c r="H38" i="19"/>
  <c r="F16" i="19"/>
  <c r="G16" i="19"/>
  <c r="H16" i="19"/>
  <c r="I16" i="19"/>
  <c r="J16" i="19"/>
  <c r="K16" i="19"/>
  <c r="L16" i="19"/>
  <c r="M16" i="19"/>
  <c r="N16" i="19"/>
  <c r="O16" i="19"/>
  <c r="A16" i="19"/>
  <c r="A16" i="13" s="1"/>
  <c r="K18" i="3" l="1"/>
  <c r="E16" i="19" s="1"/>
  <c r="J18" i="3"/>
  <c r="D16" i="19" s="1"/>
  <c r="I18" i="3" l="1"/>
  <c r="J6" i="3"/>
  <c r="K6" i="3"/>
  <c r="B16" i="13" l="1"/>
  <c r="C16" i="19"/>
  <c r="I6" i="3"/>
  <c r="O115" i="3" l="1"/>
  <c r="N115" i="3" l="1"/>
  <c r="F51" i="19"/>
  <c r="G51" i="19"/>
  <c r="J51" i="19"/>
  <c r="K51" i="19"/>
  <c r="L51" i="19"/>
  <c r="M51" i="19"/>
  <c r="N51" i="19"/>
  <c r="O51" i="19"/>
  <c r="F50" i="19"/>
  <c r="G50" i="19"/>
  <c r="J50" i="19"/>
  <c r="K50" i="19"/>
  <c r="L50" i="19"/>
  <c r="N50" i="19"/>
  <c r="O50" i="19"/>
  <c r="M50" i="19"/>
  <c r="B3" i="13" l="1"/>
  <c r="J24" i="3" l="1"/>
  <c r="K24" i="3"/>
  <c r="H50" i="19" l="1"/>
  <c r="I50" i="19"/>
  <c r="H51" i="19"/>
  <c r="I51" i="19"/>
  <c r="E57" i="13"/>
  <c r="K85" i="3" l="1"/>
  <c r="J85" i="3"/>
  <c r="K10" i="3"/>
  <c r="J10" i="3"/>
  <c r="I10" i="3" l="1"/>
  <c r="O52" i="19"/>
  <c r="O49" i="19"/>
  <c r="O48" i="19"/>
  <c r="O46" i="19"/>
  <c r="O45" i="19"/>
  <c r="O42" i="19"/>
  <c r="O41" i="19"/>
  <c r="O40" i="19"/>
  <c r="O39" i="19"/>
  <c r="O37" i="19"/>
  <c r="O36" i="19"/>
  <c r="O34" i="19"/>
  <c r="O33" i="19"/>
  <c r="O31" i="19"/>
  <c r="O30" i="19"/>
  <c r="O28" i="19"/>
  <c r="O24" i="19"/>
  <c r="O22" i="19"/>
  <c r="O21" i="19"/>
  <c r="O20" i="19"/>
  <c r="O19" i="19"/>
  <c r="O17" i="19"/>
  <c r="O14" i="19"/>
  <c r="O13" i="19"/>
  <c r="O12" i="19"/>
  <c r="O11" i="19"/>
  <c r="O10" i="19"/>
  <c r="O9" i="19"/>
  <c r="O8" i="19"/>
  <c r="O6" i="19"/>
  <c r="O5" i="19"/>
  <c r="N55" i="19"/>
  <c r="N54" i="19"/>
  <c r="N53" i="19"/>
  <c r="N52" i="19"/>
  <c r="N49" i="19"/>
  <c r="N48" i="19"/>
  <c r="N47" i="19"/>
  <c r="N46" i="19"/>
  <c r="N45" i="19"/>
  <c r="N44" i="19"/>
  <c r="N43" i="19"/>
  <c r="N42" i="19"/>
  <c r="N41" i="19"/>
  <c r="N40" i="19"/>
  <c r="N39" i="19"/>
  <c r="N37" i="19"/>
  <c r="N36" i="19"/>
  <c r="N35" i="19"/>
  <c r="N34" i="19"/>
  <c r="N33" i="19"/>
  <c r="N32" i="19"/>
  <c r="N31" i="19"/>
  <c r="N30" i="19"/>
  <c r="N29" i="19"/>
  <c r="N28" i="19"/>
  <c r="N27" i="19"/>
  <c r="N26" i="19"/>
  <c r="N25" i="19"/>
  <c r="N24" i="19"/>
  <c r="N23" i="19"/>
  <c r="N22" i="19"/>
  <c r="N21" i="19"/>
  <c r="N20" i="19"/>
  <c r="N19" i="19"/>
  <c r="N18" i="19"/>
  <c r="N17" i="19"/>
  <c r="N15" i="19"/>
  <c r="N14" i="19"/>
  <c r="N13" i="19"/>
  <c r="N12" i="19"/>
  <c r="N11" i="19"/>
  <c r="N10" i="19"/>
  <c r="N9" i="19"/>
  <c r="N8" i="19"/>
  <c r="N7" i="19"/>
  <c r="N6" i="19"/>
  <c r="N5" i="19"/>
  <c r="O54" i="19" l="1"/>
  <c r="O35" i="19"/>
  <c r="O27" i="19" l="1"/>
  <c r="O43" i="19"/>
  <c r="O53" i="19"/>
  <c r="A56" i="13" l="1"/>
  <c r="B56" i="13" s="1"/>
  <c r="F53" i="19"/>
  <c r="G53" i="19"/>
  <c r="H53" i="19"/>
  <c r="I53" i="19"/>
  <c r="J53" i="19"/>
  <c r="K53" i="19"/>
  <c r="L53" i="19"/>
  <c r="M53" i="19"/>
  <c r="A53" i="19"/>
  <c r="F49" i="19"/>
  <c r="G49" i="19"/>
  <c r="J49" i="19"/>
  <c r="K49" i="19"/>
  <c r="L49" i="19"/>
  <c r="M49" i="19"/>
  <c r="A49" i="19"/>
  <c r="A50" i="19"/>
  <c r="A51" i="19"/>
  <c r="B51" i="19" s="1"/>
  <c r="F46" i="19"/>
  <c r="G46" i="19"/>
  <c r="J46" i="19"/>
  <c r="K46" i="19"/>
  <c r="L46" i="19"/>
  <c r="M46" i="19"/>
  <c r="F47" i="19"/>
  <c r="G47" i="19"/>
  <c r="J47" i="19"/>
  <c r="K47" i="19"/>
  <c r="L47" i="19"/>
  <c r="M47" i="19"/>
  <c r="A46" i="19"/>
  <c r="A47" i="19"/>
  <c r="F44" i="19"/>
  <c r="G44" i="19"/>
  <c r="J44" i="19"/>
  <c r="K44" i="19"/>
  <c r="L44" i="19"/>
  <c r="M44" i="19"/>
  <c r="A44" i="19"/>
  <c r="F42" i="19"/>
  <c r="G42" i="19"/>
  <c r="J42" i="19"/>
  <c r="K42" i="19"/>
  <c r="L42" i="19"/>
  <c r="M42" i="19"/>
  <c r="F41" i="19"/>
  <c r="G41" i="19"/>
  <c r="J41" i="19"/>
  <c r="K41" i="19"/>
  <c r="L41" i="19"/>
  <c r="M41" i="19"/>
  <c r="F40" i="19"/>
  <c r="G40" i="19"/>
  <c r="H40" i="19"/>
  <c r="I40" i="19"/>
  <c r="J40" i="19"/>
  <c r="K40" i="19"/>
  <c r="L40" i="19"/>
  <c r="M40" i="19"/>
  <c r="A40" i="19"/>
  <c r="A41" i="19"/>
  <c r="A42" i="19"/>
  <c r="F39" i="19"/>
  <c r="G39" i="19"/>
  <c r="H39" i="19"/>
  <c r="I39" i="19"/>
  <c r="J39" i="19"/>
  <c r="K39" i="19"/>
  <c r="F32" i="19"/>
  <c r="G32" i="19"/>
  <c r="J32" i="19"/>
  <c r="K32" i="19"/>
  <c r="L32" i="19"/>
  <c r="M32" i="19"/>
  <c r="F33" i="19"/>
  <c r="G33" i="19"/>
  <c r="J33" i="19"/>
  <c r="K33" i="19"/>
  <c r="L33" i="19"/>
  <c r="M33" i="19"/>
  <c r="F34" i="19"/>
  <c r="G34" i="19"/>
  <c r="J34" i="19"/>
  <c r="K34" i="19"/>
  <c r="L34" i="19"/>
  <c r="M34" i="19"/>
  <c r="F35" i="19"/>
  <c r="G35" i="19"/>
  <c r="J35" i="19"/>
  <c r="K35" i="19"/>
  <c r="L35" i="19"/>
  <c r="M35" i="19"/>
  <c r="F36" i="19"/>
  <c r="G36" i="19"/>
  <c r="J36" i="19"/>
  <c r="K36" i="19"/>
  <c r="L36" i="19"/>
  <c r="M36" i="19"/>
  <c r="F37" i="19"/>
  <c r="G37" i="19"/>
  <c r="J37" i="19"/>
  <c r="K37" i="19"/>
  <c r="L37" i="19"/>
  <c r="M37" i="19"/>
  <c r="A33" i="19"/>
  <c r="A34" i="19"/>
  <c r="A35" i="19"/>
  <c r="A36" i="19"/>
  <c r="A37" i="19"/>
  <c r="A39" i="19"/>
  <c r="A32" i="19"/>
  <c r="F30" i="19"/>
  <c r="G30" i="19"/>
  <c r="J30" i="19"/>
  <c r="K30" i="19"/>
  <c r="L30" i="19"/>
  <c r="M30" i="19"/>
  <c r="A30" i="19"/>
  <c r="F29" i="19"/>
  <c r="G29" i="19"/>
  <c r="J29" i="19"/>
  <c r="K29" i="19"/>
  <c r="L29" i="19"/>
  <c r="M29" i="19"/>
  <c r="A29" i="19"/>
  <c r="B29" i="19" s="1"/>
  <c r="M27" i="19"/>
  <c r="L27" i="19"/>
  <c r="K27" i="19"/>
  <c r="J27" i="19"/>
  <c r="I27" i="19"/>
  <c r="H27" i="19"/>
  <c r="G27" i="19"/>
  <c r="F27" i="19"/>
  <c r="A27" i="19"/>
  <c r="B27" i="19" s="1"/>
  <c r="F26" i="19"/>
  <c r="G26" i="19"/>
  <c r="J26" i="19"/>
  <c r="K26" i="19"/>
  <c r="L26" i="19"/>
  <c r="M26" i="19"/>
  <c r="A26" i="19"/>
  <c r="B26" i="19" s="1"/>
  <c r="A50" i="13" l="1"/>
  <c r="B50" i="19"/>
  <c r="A39" i="13"/>
  <c r="B39" i="19"/>
  <c r="A47" i="13"/>
  <c r="B47" i="19"/>
  <c r="A49" i="13"/>
  <c r="B49" i="19"/>
  <c r="A36" i="13"/>
  <c r="B36" i="19"/>
  <c r="A42" i="13"/>
  <c r="B42" i="19"/>
  <c r="A30" i="13"/>
  <c r="B30" i="19"/>
  <c r="A44" i="13"/>
  <c r="B44" i="19"/>
  <c r="A35" i="13"/>
  <c r="B35" i="19"/>
  <c r="A41" i="13"/>
  <c r="B41" i="19"/>
  <c r="A32" i="13"/>
  <c r="B32" i="19"/>
  <c r="A37" i="13"/>
  <c r="B37" i="19"/>
  <c r="A46" i="13"/>
  <c r="B46" i="19"/>
  <c r="A34" i="13"/>
  <c r="B34" i="19"/>
  <c r="A40" i="13"/>
  <c r="B40" i="19"/>
  <c r="A33" i="13"/>
  <c r="B33" i="19"/>
  <c r="A53" i="13"/>
  <c r="B53" i="19"/>
  <c r="A51" i="13"/>
  <c r="F20" i="19"/>
  <c r="G20" i="19"/>
  <c r="J20" i="19"/>
  <c r="K20" i="19"/>
  <c r="M20" i="19"/>
  <c r="A20" i="19"/>
  <c r="A20" i="13" l="1"/>
  <c r="B20" i="19"/>
  <c r="O47" i="19"/>
  <c r="O44" i="19"/>
  <c r="O15" i="19"/>
  <c r="O32" i="19"/>
  <c r="O29" i="19"/>
  <c r="I29" i="19"/>
  <c r="H29" i="19"/>
  <c r="O26" i="19"/>
  <c r="O25" i="19"/>
  <c r="O23" i="19"/>
  <c r="O55" i="19"/>
  <c r="O18" i="19"/>
  <c r="O7" i="19"/>
  <c r="I20" i="19" l="1"/>
  <c r="I26" i="19"/>
  <c r="I25" i="19"/>
  <c r="I47" i="19"/>
  <c r="I30" i="19"/>
  <c r="I32" i="19"/>
  <c r="I33" i="19"/>
  <c r="I34" i="19"/>
  <c r="I35" i="19"/>
  <c r="I36" i="19"/>
  <c r="I37" i="19"/>
  <c r="I41" i="19"/>
  <c r="I42" i="19"/>
  <c r="I44" i="19"/>
  <c r="I46" i="19"/>
  <c r="I49" i="19"/>
  <c r="H20" i="19"/>
  <c r="H26" i="19"/>
  <c r="H47" i="19"/>
  <c r="H30" i="19"/>
  <c r="H32" i="19"/>
  <c r="H33" i="19"/>
  <c r="H34" i="19"/>
  <c r="H35" i="19"/>
  <c r="H36" i="19"/>
  <c r="H37" i="19"/>
  <c r="H41" i="19"/>
  <c r="H42" i="19"/>
  <c r="H44" i="19"/>
  <c r="H46" i="19"/>
  <c r="H49" i="19"/>
  <c r="A1" i="19"/>
  <c r="A5" i="19"/>
  <c r="B5" i="19" s="1"/>
  <c r="F5" i="19"/>
  <c r="G5" i="19"/>
  <c r="J5" i="19"/>
  <c r="K5" i="19"/>
  <c r="L5" i="19"/>
  <c r="M5" i="19"/>
  <c r="A6" i="19"/>
  <c r="B6" i="19" s="1"/>
  <c r="F6" i="19"/>
  <c r="G6" i="19"/>
  <c r="J6" i="19"/>
  <c r="K6" i="19"/>
  <c r="L6" i="19"/>
  <c r="M6" i="19"/>
  <c r="A7" i="19"/>
  <c r="B7" i="19" s="1"/>
  <c r="F7" i="19"/>
  <c r="G7" i="19"/>
  <c r="J7" i="19"/>
  <c r="K7" i="19"/>
  <c r="L7" i="19"/>
  <c r="M7" i="19"/>
  <c r="A8" i="19"/>
  <c r="B8" i="19" s="1"/>
  <c r="F8" i="19"/>
  <c r="G8" i="19"/>
  <c r="J8" i="19"/>
  <c r="K8" i="19"/>
  <c r="L8" i="19"/>
  <c r="M8" i="19"/>
  <c r="A9" i="19"/>
  <c r="B9" i="19" s="1"/>
  <c r="F9" i="19"/>
  <c r="G9" i="19"/>
  <c r="J9" i="19"/>
  <c r="K9" i="19"/>
  <c r="L9" i="19"/>
  <c r="M9" i="19"/>
  <c r="A10" i="19"/>
  <c r="B10" i="19" s="1"/>
  <c r="F10" i="19"/>
  <c r="G10" i="19"/>
  <c r="J10" i="19"/>
  <c r="K10" i="19"/>
  <c r="L10" i="19"/>
  <c r="M10" i="19"/>
  <c r="A11" i="19"/>
  <c r="B11" i="19" s="1"/>
  <c r="F11" i="19"/>
  <c r="G11" i="19"/>
  <c r="J11" i="19"/>
  <c r="K11" i="19"/>
  <c r="L11" i="19"/>
  <c r="M11" i="19"/>
  <c r="A12" i="19"/>
  <c r="B12" i="19" s="1"/>
  <c r="F12" i="19"/>
  <c r="G12" i="19"/>
  <c r="J12" i="19"/>
  <c r="K12" i="19"/>
  <c r="L12" i="19"/>
  <c r="M12" i="19"/>
  <c r="A13" i="19"/>
  <c r="B13" i="19" s="1"/>
  <c r="F13" i="19"/>
  <c r="G13" i="19"/>
  <c r="J13" i="19"/>
  <c r="K13" i="19"/>
  <c r="L13" i="19"/>
  <c r="M13" i="19"/>
  <c r="A14" i="19"/>
  <c r="B14" i="19" s="1"/>
  <c r="F14" i="19"/>
  <c r="G14" i="19"/>
  <c r="J14" i="19"/>
  <c r="K14" i="19"/>
  <c r="L14" i="19"/>
  <c r="M14" i="19"/>
  <c r="A15" i="19"/>
  <c r="B15" i="19" s="1"/>
  <c r="F15" i="19"/>
  <c r="G15" i="19"/>
  <c r="J15" i="19"/>
  <c r="K15" i="19"/>
  <c r="L15" i="19"/>
  <c r="M15" i="19"/>
  <c r="A17" i="19"/>
  <c r="B17" i="19" s="1"/>
  <c r="F17" i="19"/>
  <c r="G17" i="19"/>
  <c r="J17" i="19"/>
  <c r="K17" i="19"/>
  <c r="L17" i="19"/>
  <c r="M17" i="19"/>
  <c r="A18" i="19"/>
  <c r="B18" i="19" s="1"/>
  <c r="F18" i="19"/>
  <c r="G18" i="19"/>
  <c r="J18" i="19"/>
  <c r="K18" i="19"/>
  <c r="L18" i="19"/>
  <c r="M18" i="19"/>
  <c r="A19" i="19"/>
  <c r="B19" i="19" s="1"/>
  <c r="F19" i="19"/>
  <c r="G19" i="19"/>
  <c r="J19" i="19"/>
  <c r="K19" i="19"/>
  <c r="L19" i="19"/>
  <c r="M19" i="19"/>
  <c r="A21" i="19"/>
  <c r="F21" i="19"/>
  <c r="G21" i="19"/>
  <c r="J21" i="19"/>
  <c r="K21" i="19"/>
  <c r="L21" i="19"/>
  <c r="M21" i="19"/>
  <c r="A22" i="19"/>
  <c r="B22" i="19" s="1"/>
  <c r="F22" i="19"/>
  <c r="G22" i="19"/>
  <c r="J22" i="19"/>
  <c r="K22" i="19"/>
  <c r="L22" i="19"/>
  <c r="M22" i="19"/>
  <c r="A23" i="19"/>
  <c r="B23" i="19" s="1"/>
  <c r="F23" i="19"/>
  <c r="G23" i="19"/>
  <c r="J23" i="19"/>
  <c r="K23" i="19"/>
  <c r="L23" i="19"/>
  <c r="M23" i="19"/>
  <c r="A24" i="19"/>
  <c r="B24" i="19" s="1"/>
  <c r="F24" i="19"/>
  <c r="G24" i="19"/>
  <c r="J24" i="19"/>
  <c r="K24" i="19"/>
  <c r="L24" i="19"/>
  <c r="M24" i="19"/>
  <c r="A25" i="19"/>
  <c r="B25" i="19" s="1"/>
  <c r="F25" i="19"/>
  <c r="G25" i="19"/>
  <c r="J25" i="19"/>
  <c r="K25" i="19"/>
  <c r="L25" i="19"/>
  <c r="M25" i="19"/>
  <c r="A28" i="19"/>
  <c r="B28" i="19" s="1"/>
  <c r="F28" i="19"/>
  <c r="G28" i="19"/>
  <c r="J28" i="19"/>
  <c r="K28" i="19"/>
  <c r="L28" i="19"/>
  <c r="M28" i="19"/>
  <c r="A31" i="19"/>
  <c r="F31" i="19"/>
  <c r="G31" i="19"/>
  <c r="J31" i="19"/>
  <c r="K31" i="19"/>
  <c r="L31" i="19"/>
  <c r="M31" i="19"/>
  <c r="A43" i="19"/>
  <c r="F43" i="19"/>
  <c r="G43" i="19"/>
  <c r="J43" i="19"/>
  <c r="K43" i="19"/>
  <c r="L43" i="19"/>
  <c r="M43" i="19"/>
  <c r="A45" i="19"/>
  <c r="F45" i="19"/>
  <c r="G45" i="19"/>
  <c r="J45" i="19"/>
  <c r="K45" i="19"/>
  <c r="L45" i="19"/>
  <c r="M45" i="19"/>
  <c r="A48" i="19"/>
  <c r="F48" i="19"/>
  <c r="G48" i="19"/>
  <c r="J48" i="19"/>
  <c r="K48" i="19"/>
  <c r="L48" i="19"/>
  <c r="M48" i="19"/>
  <c r="A52" i="19"/>
  <c r="B52" i="19" s="1"/>
  <c r="F52" i="19"/>
  <c r="G52" i="19"/>
  <c r="J52" i="19"/>
  <c r="K52" i="19"/>
  <c r="L52" i="19"/>
  <c r="M52" i="19"/>
  <c r="A54" i="19"/>
  <c r="F54" i="19"/>
  <c r="G54" i="19"/>
  <c r="J54" i="19"/>
  <c r="K54" i="19"/>
  <c r="L54" i="19"/>
  <c r="M54" i="19"/>
  <c r="A55" i="19"/>
  <c r="F55" i="19"/>
  <c r="G55" i="19"/>
  <c r="J55" i="19"/>
  <c r="K55" i="19"/>
  <c r="L55" i="19"/>
  <c r="M55" i="19"/>
  <c r="A54" i="13" l="1"/>
  <c r="B54" i="19"/>
  <c r="A55" i="13"/>
  <c r="B55" i="19"/>
  <c r="F56" i="19"/>
  <c r="A31" i="13"/>
  <c r="B31" i="19"/>
  <c r="A48" i="13"/>
  <c r="B48" i="19"/>
  <c r="A43" i="13"/>
  <c r="B43" i="19"/>
  <c r="B21" i="19"/>
  <c r="A45" i="13"/>
  <c r="B45" i="19"/>
  <c r="I54" i="19"/>
  <c r="H25" i="19"/>
  <c r="H54" i="19"/>
  <c r="G56" i="19"/>
  <c r="O56" i="19"/>
  <c r="N56" i="19"/>
  <c r="L56" i="19"/>
  <c r="J56" i="19"/>
  <c r="K56" i="19" l="1"/>
  <c r="M56" i="19" l="1"/>
  <c r="I10" i="19" l="1"/>
  <c r="I11" i="19"/>
  <c r="I13" i="19"/>
  <c r="I19" i="19"/>
  <c r="K26" i="3"/>
  <c r="K29" i="3"/>
  <c r="K30" i="3"/>
  <c r="K31" i="3"/>
  <c r="K35" i="3"/>
  <c r="K36" i="3"/>
  <c r="K37" i="3"/>
  <c r="K38" i="3"/>
  <c r="K40" i="3"/>
  <c r="K43" i="3"/>
  <c r="K42" i="3"/>
  <c r="K45" i="3"/>
  <c r="K49" i="3"/>
  <c r="K50" i="3"/>
  <c r="K52" i="3"/>
  <c r="K51" i="3"/>
  <c r="K44" i="3"/>
  <c r="K54" i="3"/>
  <c r="K27" i="3"/>
  <c r="K94" i="3"/>
  <c r="K56" i="3"/>
  <c r="K86" i="3"/>
  <c r="I31" i="19"/>
  <c r="K58" i="3"/>
  <c r="K59" i="3"/>
  <c r="K61" i="3"/>
  <c r="K62" i="3"/>
  <c r="K63" i="3"/>
  <c r="K66" i="3"/>
  <c r="K76" i="3"/>
  <c r="K78" i="3"/>
  <c r="I45" i="19"/>
  <c r="K83" i="3"/>
  <c r="K84" i="3"/>
  <c r="K87" i="3"/>
  <c r="K89" i="3"/>
  <c r="K93" i="3"/>
  <c r="K92" i="3"/>
  <c r="K95" i="3"/>
  <c r="E48" i="19" s="1"/>
  <c r="K96" i="3"/>
  <c r="K98" i="3"/>
  <c r="K99" i="3"/>
  <c r="K101" i="3"/>
  <c r="K104" i="3"/>
  <c r="K106" i="3"/>
  <c r="K105" i="3"/>
  <c r="K107" i="3"/>
  <c r="K110" i="3"/>
  <c r="K108" i="3"/>
  <c r="K112" i="3"/>
  <c r="K111" i="3"/>
  <c r="K113" i="3"/>
  <c r="E54" i="19" s="1"/>
  <c r="I55" i="19"/>
  <c r="I8" i="19"/>
  <c r="I5" i="19"/>
  <c r="H7" i="19"/>
  <c r="H9" i="19"/>
  <c r="H13" i="19"/>
  <c r="H15" i="19"/>
  <c r="H19" i="19"/>
  <c r="H22" i="19"/>
  <c r="J29" i="3"/>
  <c r="J30" i="3"/>
  <c r="J38" i="3"/>
  <c r="J39" i="3"/>
  <c r="J40" i="3"/>
  <c r="J43" i="3"/>
  <c r="J42" i="3"/>
  <c r="J45" i="3"/>
  <c r="H28" i="19"/>
  <c r="J49" i="3"/>
  <c r="J50" i="3"/>
  <c r="J52" i="3"/>
  <c r="J51" i="3"/>
  <c r="J53" i="3"/>
  <c r="J44" i="3"/>
  <c r="J54" i="3"/>
  <c r="J27" i="3"/>
  <c r="J94" i="3"/>
  <c r="J56" i="3"/>
  <c r="J86" i="3"/>
  <c r="J58" i="3"/>
  <c r="J59" i="3"/>
  <c r="J61" i="3"/>
  <c r="J62" i="3"/>
  <c r="J63" i="3"/>
  <c r="J64" i="3"/>
  <c r="J66" i="3"/>
  <c r="J75" i="3"/>
  <c r="J76" i="3"/>
  <c r="J78" i="3"/>
  <c r="H45" i="19"/>
  <c r="J83" i="3"/>
  <c r="J84" i="3"/>
  <c r="J87" i="3"/>
  <c r="J91" i="3"/>
  <c r="J89" i="3"/>
  <c r="J93" i="3"/>
  <c r="J92" i="3"/>
  <c r="J95" i="3"/>
  <c r="D48" i="19" s="1"/>
  <c r="J96" i="3"/>
  <c r="J98" i="3"/>
  <c r="J99" i="3"/>
  <c r="J101" i="3"/>
  <c r="J104" i="3"/>
  <c r="J106" i="3"/>
  <c r="J105" i="3"/>
  <c r="J107" i="3"/>
  <c r="J110" i="3"/>
  <c r="J108" i="3"/>
  <c r="J112" i="3"/>
  <c r="J111" i="3"/>
  <c r="J113" i="3"/>
  <c r="D54" i="19" s="1"/>
  <c r="J31" i="3"/>
  <c r="J37" i="3"/>
  <c r="J47" i="3"/>
  <c r="K15" i="3"/>
  <c r="J20" i="3"/>
  <c r="J5" i="3"/>
  <c r="K5" i="3"/>
  <c r="J26" i="3"/>
  <c r="J36" i="3"/>
  <c r="K39" i="3"/>
  <c r="K47" i="3"/>
  <c r="K55" i="3"/>
  <c r="K90" i="3"/>
  <c r="E47" i="19" s="1"/>
  <c r="K64" i="3"/>
  <c r="K73" i="3"/>
  <c r="K80" i="3"/>
  <c r="E42" i="19" s="1"/>
  <c r="K91" i="3"/>
  <c r="L115" i="3"/>
  <c r="I87" i="3" l="1"/>
  <c r="I94" i="3"/>
  <c r="I27" i="3"/>
  <c r="I64" i="3"/>
  <c r="I26" i="3"/>
  <c r="I84" i="3"/>
  <c r="I37" i="3"/>
  <c r="I99" i="3"/>
  <c r="I89" i="3"/>
  <c r="I38" i="3"/>
  <c r="I47" i="3"/>
  <c r="I36" i="3"/>
  <c r="I45" i="3"/>
  <c r="I59" i="3"/>
  <c r="I83" i="3"/>
  <c r="I50" i="3"/>
  <c r="I40" i="3"/>
  <c r="I78" i="3"/>
  <c r="I39" i="3"/>
  <c r="I31" i="3"/>
  <c r="I29" i="3"/>
  <c r="I111" i="3"/>
  <c r="K57" i="3"/>
  <c r="E30" i="19" s="1"/>
  <c r="K97" i="3"/>
  <c r="E49" i="19" s="1"/>
  <c r="K81" i="3"/>
  <c r="E45" i="19" s="1"/>
  <c r="K17" i="3"/>
  <c r="E13" i="19" s="1"/>
  <c r="K33" i="3"/>
  <c r="J11" i="3"/>
  <c r="D9" i="19" s="1"/>
  <c r="K41" i="3"/>
  <c r="E27" i="19" s="1"/>
  <c r="K25" i="3"/>
  <c r="J14" i="3"/>
  <c r="J65" i="3"/>
  <c r="D32" i="19" s="1"/>
  <c r="K60" i="3"/>
  <c r="J97" i="3"/>
  <c r="D49" i="19" s="1"/>
  <c r="J57" i="3"/>
  <c r="D30" i="19" s="1"/>
  <c r="K68" i="3"/>
  <c r="E34" i="19" s="1"/>
  <c r="K109" i="3"/>
  <c r="E53" i="19" s="1"/>
  <c r="J48" i="3"/>
  <c r="D29" i="19" s="1"/>
  <c r="J17" i="3"/>
  <c r="D15" i="19" s="1"/>
  <c r="J81" i="3"/>
  <c r="K9" i="3"/>
  <c r="E8" i="19" s="1"/>
  <c r="J68" i="3"/>
  <c r="D34" i="19" s="1"/>
  <c r="I48" i="19"/>
  <c r="K14" i="3"/>
  <c r="K70" i="3"/>
  <c r="E36" i="19" s="1"/>
  <c r="K13" i="3"/>
  <c r="E11" i="19" s="1"/>
  <c r="J102" i="3"/>
  <c r="D51" i="19" s="1"/>
  <c r="J82" i="3"/>
  <c r="D44" i="19" s="1"/>
  <c r="J60" i="3"/>
  <c r="J55" i="3"/>
  <c r="J41" i="3"/>
  <c r="D27" i="19" s="1"/>
  <c r="J34" i="3"/>
  <c r="D26" i="19" s="1"/>
  <c r="H24" i="19"/>
  <c r="J23" i="3"/>
  <c r="D21" i="19" s="1"/>
  <c r="H21" i="19"/>
  <c r="J16" i="3"/>
  <c r="H12" i="19"/>
  <c r="J7" i="3"/>
  <c r="D6" i="19" s="1"/>
  <c r="H6" i="19"/>
  <c r="K77" i="3"/>
  <c r="E40" i="19" s="1"/>
  <c r="I43" i="19"/>
  <c r="K69" i="3"/>
  <c r="E35" i="19" s="1"/>
  <c r="K28" i="3"/>
  <c r="E23" i="19" s="1"/>
  <c r="I23" i="19"/>
  <c r="K32" i="3"/>
  <c r="I17" i="19"/>
  <c r="K79" i="3"/>
  <c r="E41" i="19" s="1"/>
  <c r="K21" i="3"/>
  <c r="I18" i="19"/>
  <c r="J33" i="3"/>
  <c r="J12" i="3"/>
  <c r="D5" i="19" s="1"/>
  <c r="H5" i="19"/>
  <c r="J15" i="3"/>
  <c r="H11" i="19"/>
  <c r="K20" i="3"/>
  <c r="I15" i="19"/>
  <c r="K11" i="3"/>
  <c r="E9" i="19" s="1"/>
  <c r="I9" i="19"/>
  <c r="J25" i="3"/>
  <c r="K88" i="3"/>
  <c r="E46" i="19" s="1"/>
  <c r="K46" i="3"/>
  <c r="J67" i="3"/>
  <c r="D33" i="19" s="1"/>
  <c r="J80" i="3"/>
  <c r="D42" i="19" s="1"/>
  <c r="J90" i="3"/>
  <c r="H31" i="19"/>
  <c r="K100" i="3"/>
  <c r="E50" i="19" s="1"/>
  <c r="K67" i="3"/>
  <c r="E33" i="19" s="1"/>
  <c r="K19" i="3"/>
  <c r="I14" i="19"/>
  <c r="J9" i="3"/>
  <c r="D8" i="19" s="1"/>
  <c r="H8" i="19"/>
  <c r="K114" i="3"/>
  <c r="E55" i="19" s="1"/>
  <c r="J100" i="3"/>
  <c r="D50" i="19" s="1"/>
  <c r="K22" i="3"/>
  <c r="E20" i="19" s="1"/>
  <c r="J8" i="3"/>
  <c r="D7" i="19" s="1"/>
  <c r="J114" i="3"/>
  <c r="D55" i="19" s="1"/>
  <c r="H55" i="19"/>
  <c r="J88" i="3"/>
  <c r="D46" i="19" s="1"/>
  <c r="J79" i="3"/>
  <c r="D41" i="19" s="1"/>
  <c r="J71" i="3"/>
  <c r="D37" i="19" s="1"/>
  <c r="H48" i="19"/>
  <c r="J46" i="3"/>
  <c r="J21" i="3"/>
  <c r="D18" i="19" s="1"/>
  <c r="H18" i="19"/>
  <c r="J13" i="3"/>
  <c r="H10" i="19"/>
  <c r="K8" i="3"/>
  <c r="E7" i="19" s="1"/>
  <c r="I7" i="19"/>
  <c r="K102" i="3"/>
  <c r="E51" i="19" s="1"/>
  <c r="K82" i="3"/>
  <c r="E44" i="19" s="1"/>
  <c r="E39" i="19"/>
  <c r="I22" i="19"/>
  <c r="K71" i="3"/>
  <c r="E37" i="19" s="1"/>
  <c r="J70" i="3"/>
  <c r="D36" i="19" s="1"/>
  <c r="J28" i="3"/>
  <c r="D23" i="19" s="1"/>
  <c r="H23" i="19"/>
  <c r="J32" i="3"/>
  <c r="H17" i="19"/>
  <c r="K7" i="3"/>
  <c r="E6" i="19" s="1"/>
  <c r="I6" i="19"/>
  <c r="K65" i="3"/>
  <c r="E32" i="19" s="1"/>
  <c r="K48" i="3"/>
  <c r="E29" i="19" s="1"/>
  <c r="I28" i="19"/>
  <c r="K34" i="3"/>
  <c r="I24" i="19"/>
  <c r="K23" i="3"/>
  <c r="E21" i="19" s="1"/>
  <c r="I21" i="19"/>
  <c r="K16" i="3"/>
  <c r="I12" i="19"/>
  <c r="J103" i="3"/>
  <c r="D52" i="19" s="1"/>
  <c r="H52" i="19"/>
  <c r="J19" i="3"/>
  <c r="H14" i="19"/>
  <c r="J109" i="3"/>
  <c r="D53" i="19" s="1"/>
  <c r="J77" i="3"/>
  <c r="D40" i="19" s="1"/>
  <c r="H43" i="19"/>
  <c r="J69" i="3"/>
  <c r="D35" i="19" s="1"/>
  <c r="K103" i="3"/>
  <c r="E52" i="19" s="1"/>
  <c r="I52" i="19"/>
  <c r="J35" i="3"/>
  <c r="I35" i="3" s="1"/>
  <c r="K53" i="3"/>
  <c r="I53" i="3" s="1"/>
  <c r="I110" i="3"/>
  <c r="I24" i="3" l="1"/>
  <c r="E14" i="19"/>
  <c r="D39" i="19"/>
  <c r="I74" i="3"/>
  <c r="B39" i="13" s="1"/>
  <c r="D31" i="19"/>
  <c r="D47" i="19"/>
  <c r="E25" i="19"/>
  <c r="E24" i="19"/>
  <c r="E26" i="19"/>
  <c r="E15" i="19"/>
  <c r="D10" i="19"/>
  <c r="E12" i="19"/>
  <c r="D12" i="19"/>
  <c r="D11" i="19"/>
  <c r="D25" i="19"/>
  <c r="E22" i="19"/>
  <c r="D22" i="19"/>
  <c r="E18" i="19"/>
  <c r="E43" i="19"/>
  <c r="D43" i="19"/>
  <c r="D14" i="19"/>
  <c r="E28" i="19"/>
  <c r="D24" i="19"/>
  <c r="D45" i="19"/>
  <c r="E31" i="19"/>
  <c r="D13" i="19"/>
  <c r="D19" i="19"/>
  <c r="E19" i="19"/>
  <c r="E17" i="19"/>
  <c r="D28" i="19"/>
  <c r="D17" i="19"/>
  <c r="I56" i="19"/>
  <c r="E56" i="19" s="1"/>
  <c r="H56" i="19"/>
  <c r="D56" i="19" s="1"/>
  <c r="I44" i="3"/>
  <c r="C56" i="19" l="1"/>
  <c r="S115" i="3"/>
  <c r="A23" i="13"/>
  <c r="I5" i="3" l="1"/>
  <c r="I66" i="3"/>
  <c r="I23" i="3"/>
  <c r="I112" i="3"/>
  <c r="C5" i="19" l="1"/>
  <c r="C21" i="19"/>
  <c r="I97" i="3"/>
  <c r="I101" i="3"/>
  <c r="I105" i="3"/>
  <c r="B49" i="13" l="1"/>
  <c r="C49" i="19"/>
  <c r="I95" i="3"/>
  <c r="I81" i="3"/>
  <c r="I69" i="3"/>
  <c r="I77" i="3"/>
  <c r="I107" i="3"/>
  <c r="I96" i="3"/>
  <c r="I93" i="3"/>
  <c r="I82" i="3"/>
  <c r="C39" i="19"/>
  <c r="I70" i="3"/>
  <c r="I65" i="3"/>
  <c r="I61" i="3"/>
  <c r="I103" i="3"/>
  <c r="I90" i="3"/>
  <c r="I57" i="3"/>
  <c r="I109" i="3"/>
  <c r="I100" i="3"/>
  <c r="I91" i="3"/>
  <c r="I80" i="3"/>
  <c r="I76" i="3"/>
  <c r="I73" i="3"/>
  <c r="I68" i="3"/>
  <c r="I63" i="3"/>
  <c r="I58" i="3"/>
  <c r="I51" i="3"/>
  <c r="I102" i="3"/>
  <c r="I88" i="3"/>
  <c r="I79" i="3"/>
  <c r="I67" i="3"/>
  <c r="I62" i="3"/>
  <c r="I55" i="3"/>
  <c r="I52" i="3"/>
  <c r="I104" i="3"/>
  <c r="I71" i="3"/>
  <c r="I86" i="3"/>
  <c r="I56" i="3"/>
  <c r="I54" i="3"/>
  <c r="I108" i="3"/>
  <c r="I92" i="3"/>
  <c r="I75" i="3"/>
  <c r="I60" i="3"/>
  <c r="I49" i="3"/>
  <c r="I85" i="3"/>
  <c r="A25" i="13"/>
  <c r="C52" i="19" l="1"/>
  <c r="B45" i="13"/>
  <c r="B36" i="13"/>
  <c r="B44" i="13"/>
  <c r="B43" i="13"/>
  <c r="B33" i="13"/>
  <c r="B46" i="13"/>
  <c r="B31" i="13"/>
  <c r="B34" i="13"/>
  <c r="B48" i="13"/>
  <c r="B41" i="13"/>
  <c r="B51" i="13"/>
  <c r="B53" i="13"/>
  <c r="B30" i="13"/>
  <c r="B32" i="13"/>
  <c r="B40" i="13"/>
  <c r="B42" i="13"/>
  <c r="B35" i="13"/>
  <c r="B37" i="13"/>
  <c r="B47" i="13"/>
  <c r="C50" i="19"/>
  <c r="B50" i="13"/>
  <c r="C51" i="19"/>
  <c r="C41" i="19"/>
  <c r="C42" i="19"/>
  <c r="C32" i="19"/>
  <c r="C40" i="19"/>
  <c r="C36" i="19"/>
  <c r="C35" i="19"/>
  <c r="C46" i="19"/>
  <c r="C37" i="19"/>
  <c r="C53" i="19"/>
  <c r="C44" i="19"/>
  <c r="C48" i="19"/>
  <c r="C30" i="19"/>
  <c r="C33" i="19"/>
  <c r="C34" i="19"/>
  <c r="C47" i="19"/>
  <c r="C43" i="19"/>
  <c r="C45" i="19"/>
  <c r="C31" i="19"/>
  <c r="Q115" i="3" l="1"/>
  <c r="P115" i="3"/>
  <c r="U115" i="3"/>
  <c r="T115" i="3"/>
  <c r="I13" i="3" l="1"/>
  <c r="A5" i="13"/>
  <c r="B5" i="13" l="1"/>
  <c r="I20" i="3"/>
  <c r="I41" i="3"/>
  <c r="I7" i="3"/>
  <c r="I11" i="3"/>
  <c r="I15" i="3"/>
  <c r="I43" i="3"/>
  <c r="I8" i="3"/>
  <c r="I46" i="3"/>
  <c r="I33" i="3"/>
  <c r="I21" i="3"/>
  <c r="I17" i="3"/>
  <c r="I42" i="3"/>
  <c r="I34" i="3"/>
  <c r="I25" i="3"/>
  <c r="I32" i="3"/>
  <c r="I16" i="3"/>
  <c r="I28" i="3"/>
  <c r="I22" i="3"/>
  <c r="I19" i="3"/>
  <c r="I14" i="3"/>
  <c r="I30" i="3"/>
  <c r="I48" i="3"/>
  <c r="I9" i="3"/>
  <c r="C7" i="19" l="1"/>
  <c r="C9" i="19"/>
  <c r="B25" i="13"/>
  <c r="C11" i="19"/>
  <c r="C8" i="19"/>
  <c r="C6" i="19"/>
  <c r="C23" i="19"/>
  <c r="C22" i="19"/>
  <c r="B23" i="13"/>
  <c r="C26" i="19"/>
  <c r="C20" i="19"/>
  <c r="B20" i="13"/>
  <c r="C27" i="19"/>
  <c r="C13" i="19"/>
  <c r="C17" i="19"/>
  <c r="C28" i="19"/>
  <c r="C29" i="19"/>
  <c r="C14" i="19"/>
  <c r="C19" i="19"/>
  <c r="C18" i="19"/>
  <c r="C15" i="19"/>
  <c r="C25" i="19"/>
  <c r="C24" i="19"/>
  <c r="C12" i="19"/>
  <c r="R115" i="3"/>
  <c r="J115" i="3" s="1"/>
  <c r="I113" i="3" l="1"/>
  <c r="A21" i="13"/>
  <c r="B21" i="13" s="1"/>
  <c r="B54" i="13" l="1"/>
  <c r="C54" i="19"/>
  <c r="A52" i="13"/>
  <c r="B52" i="13" s="1"/>
  <c r="A28" i="13"/>
  <c r="B28" i="13" s="1"/>
  <c r="A27" i="13"/>
  <c r="B27" i="13" s="1"/>
  <c r="A26" i="13"/>
  <c r="B26" i="13" s="1"/>
  <c r="A24" i="13"/>
  <c r="B24" i="13" s="1"/>
  <c r="A22" i="13"/>
  <c r="B22" i="13" s="1"/>
  <c r="A19" i="13"/>
  <c r="B19" i="13" s="1"/>
  <c r="A18" i="13"/>
  <c r="B18" i="13" s="1"/>
  <c r="A17" i="13"/>
  <c r="B17" i="13" s="1"/>
  <c r="A15" i="13"/>
  <c r="B15" i="13" s="1"/>
  <c r="A14" i="13"/>
  <c r="B14" i="13" s="1"/>
  <c r="A13" i="13"/>
  <c r="B13" i="13" s="1"/>
  <c r="A12" i="13"/>
  <c r="B12" i="13" s="1"/>
  <c r="A11" i="13"/>
  <c r="B11" i="13" s="1"/>
  <c r="A10" i="13"/>
  <c r="A9" i="13"/>
  <c r="B9" i="13" s="1"/>
  <c r="A8" i="13"/>
  <c r="B8" i="13" s="1"/>
  <c r="A7" i="13"/>
  <c r="B7" i="13" s="1"/>
  <c r="A6" i="13"/>
  <c r="B6" i="13" l="1"/>
  <c r="A4" i="13"/>
  <c r="C57" i="13"/>
  <c r="D57" i="13"/>
  <c r="B57" i="13" l="1"/>
  <c r="I114" i="3" l="1"/>
  <c r="B55" i="13" l="1"/>
  <c r="C55" i="19"/>
  <c r="A29" i="13"/>
  <c r="I98" i="3"/>
  <c r="M115" i="3"/>
  <c r="I106" i="3"/>
  <c r="B29" i="13" l="1"/>
  <c r="K115" i="3"/>
  <c r="I115" i="3" s="1"/>
  <c r="K12" i="3"/>
  <c r="E10" i="19" s="1"/>
  <c r="I12" i="3" l="1"/>
  <c r="E5" i="19"/>
  <c r="B10" i="13" l="1"/>
  <c r="C10" i="19"/>
</calcChain>
</file>

<file path=xl/sharedStrings.xml><?xml version="1.0" encoding="utf-8"?>
<sst xmlns="http://schemas.openxmlformats.org/spreadsheetml/2006/main" count="784" uniqueCount="285">
  <si>
    <t>Institutionsnavn</t>
  </si>
  <si>
    <t>Hørkram</t>
  </si>
  <si>
    <t>Total</t>
  </si>
  <si>
    <t>Børnehuset Birkhøj</t>
  </si>
  <si>
    <t>Børnehuset Solbjerg</t>
  </si>
  <si>
    <t>Børnehuset Søndersø</t>
  </si>
  <si>
    <t>Dalgårdens Børnehus</t>
  </si>
  <si>
    <t>Farumsødal</t>
  </si>
  <si>
    <t>Krudthuset</t>
  </si>
  <si>
    <t>Lynghuset</t>
  </si>
  <si>
    <t>Plejecenteret Solbjerghaven</t>
  </si>
  <si>
    <t>Nordvænget Vuggestue</t>
  </si>
  <si>
    <t>Lillevang - Køkken</t>
  </si>
  <si>
    <t>Børnehuset Bøgely</t>
  </si>
  <si>
    <t>Økologi %</t>
  </si>
  <si>
    <t>Hareskov Børnehus</t>
  </si>
  <si>
    <t>Skovgården</t>
  </si>
  <si>
    <t>Ryet Børnehus</t>
  </si>
  <si>
    <t>Espebo Børnecenter</t>
  </si>
  <si>
    <t>Furesø AdHd</t>
  </si>
  <si>
    <t>Børnehuset Kirke Værløse</t>
  </si>
  <si>
    <t>Åkanden</t>
  </si>
  <si>
    <t>Lillevang - Blommehaven</t>
  </si>
  <si>
    <t>Lillevang - Magnoliehaven</t>
  </si>
  <si>
    <t>Lillevang - Syrenhaven</t>
  </si>
  <si>
    <t>Hareskov skole - lærerforplejning</t>
  </si>
  <si>
    <t>Børnehuset Birkedal</t>
  </si>
  <si>
    <t>Solvang FFO, Solvognen</t>
  </si>
  <si>
    <t>Sundhedsplejen, Farum</t>
  </si>
  <si>
    <t>Økologiprocenter - alle køkkener</t>
  </si>
  <si>
    <t>Lille Værløse Skole, Autisme afdelingen</t>
  </si>
  <si>
    <t>Øko kg</t>
  </si>
  <si>
    <t>Omfattet kg</t>
  </si>
  <si>
    <t>Omfattet kg=samlet køb i kilo fraregnet salt, flaskevand, vildt, vilde fisk og nonfood</t>
  </si>
  <si>
    <t>Farum Vejgaard, BH/VS</t>
  </si>
  <si>
    <t>Svanepunktet, Rehab</t>
  </si>
  <si>
    <t>Dalgårdens Børnehus, møde</t>
  </si>
  <si>
    <t>Rådhuset Furesø Kommune + frugtordning</t>
  </si>
  <si>
    <t>Guld</t>
  </si>
  <si>
    <t>Sølv</t>
  </si>
  <si>
    <t>Bronze</t>
  </si>
  <si>
    <t>Det økologiske Spisemærke</t>
  </si>
  <si>
    <t>30-60%</t>
  </si>
  <si>
    <t>60-90%</t>
  </si>
  <si>
    <t>90-100%</t>
  </si>
  <si>
    <t>Sprogcenter Furesø</t>
  </si>
  <si>
    <t>Børnehuset Mimers Brønd</t>
  </si>
  <si>
    <t>Lille Værløse Skoles FFO 3 (Klub24 )</t>
  </si>
  <si>
    <t xml:space="preserve">Lillevang - Kornelhaven </t>
  </si>
  <si>
    <t>JDE</t>
  </si>
  <si>
    <t>Genoptræningscenteret</t>
  </si>
  <si>
    <t>Driftsgården</t>
  </si>
  <si>
    <t>Hjemmeplejen+Hjemme-og Sygeplejen</t>
  </si>
  <si>
    <t>Børnehuset Atlantis (Tidl. Børnehusene, Ryttergårdsvej)</t>
  </si>
  <si>
    <t>Furesø Skole- og Familiehus (inkl. Rådgivning, vejledn. og støtte)</t>
  </si>
  <si>
    <t>Børnehuset Vingesus</t>
  </si>
  <si>
    <t>Furesø Museer</t>
  </si>
  <si>
    <t>Hareskov Børnehus, personale</t>
  </si>
  <si>
    <t>Græshoppen, madpakker</t>
  </si>
  <si>
    <t>Lyngholmskolen, lærerforplejning + Gruppeordning(tidl. Furesøskolen)</t>
  </si>
  <si>
    <t>I alt %</t>
  </si>
  <si>
    <t xml:space="preserve">I alt stk. </t>
  </si>
  <si>
    <t>Økologiprocenter - alle kommunale køkkener med smileyordning</t>
  </si>
  <si>
    <t>Syvstjernevænge, Bofællesskabet</t>
  </si>
  <si>
    <t>Solhøjgård, Fritidshjem, selvejende</t>
  </si>
  <si>
    <t>Furesø Musikskole</t>
  </si>
  <si>
    <t>Lyngholmskolen, madkundskab</t>
  </si>
  <si>
    <t>Ryetbo</t>
  </si>
  <si>
    <t>Humlehaven, specialbørnehave</t>
  </si>
  <si>
    <t>Solvangskolen, madkundskab</t>
  </si>
  <si>
    <t xml:space="preserve">Syvstjerneklubben, møder </t>
  </si>
  <si>
    <t xml:space="preserve">Syvstjerneskolen, madkundskab </t>
  </si>
  <si>
    <t>Solvangskolen, skolens fælleskøb</t>
  </si>
  <si>
    <t>Røde Sol (Madpakker og forældrefrugt)</t>
  </si>
  <si>
    <t>Hareskov skole, madkundskab</t>
  </si>
  <si>
    <t>Furesø Ungdomsskole</t>
  </si>
  <si>
    <t>Furesøgård, fritidsklub</t>
  </si>
  <si>
    <t xml:space="preserve">Egeskolen, skolens fælles køb </t>
  </si>
  <si>
    <t>Egeskolen, kantine</t>
  </si>
  <si>
    <t>Børnehuset Skovbakken</t>
  </si>
  <si>
    <t>Værløse Svømmehal</t>
  </si>
  <si>
    <t>Skolelandbruget</t>
  </si>
  <si>
    <t xml:space="preserve">Hareskov FFO, Læsehuset  </t>
  </si>
  <si>
    <t>HB Kødgros/Driftsgården /Tvilling/Rema vedr. Lillevang</t>
  </si>
  <si>
    <r>
      <rPr>
        <b/>
        <sz val="11"/>
        <color rgb="FF92D050"/>
        <rFont val="Calibri"/>
        <family val="2"/>
        <scheme val="minor"/>
      </rPr>
      <t>Div.købmand</t>
    </r>
    <r>
      <rPr>
        <b/>
        <sz val="11"/>
        <color theme="1"/>
        <rFont val="Calibri"/>
        <family val="2"/>
        <scheme val="minor"/>
      </rPr>
      <t>/</t>
    </r>
    <r>
      <rPr>
        <b/>
        <sz val="11"/>
        <color rgb="FF92D050"/>
        <rFont val="Calibri"/>
        <family val="2"/>
        <scheme val="minor"/>
      </rPr>
      <t>Kantinehaver Stavnsholt / Lynghuset/</t>
    </r>
    <r>
      <rPr>
        <b/>
        <sz val="11"/>
        <rFont val="Calibri"/>
        <family val="2"/>
        <scheme val="minor"/>
      </rPr>
      <t>Ryetbo</t>
    </r>
    <r>
      <rPr>
        <b/>
        <sz val="11"/>
        <color rgb="FF92D050"/>
        <rFont val="Calibri"/>
        <family val="2"/>
        <scheme val="minor"/>
      </rPr>
      <t>/Natursli</t>
    </r>
    <r>
      <rPr>
        <b/>
        <sz val="11"/>
        <color theme="1"/>
        <rFont val="Calibri"/>
        <family val="2"/>
        <scheme val="minor"/>
      </rPr>
      <t>k/Premier IS/</t>
    </r>
    <r>
      <rPr>
        <b/>
        <sz val="11"/>
        <color rgb="FF92D050"/>
        <rFont val="Calibri"/>
        <family val="2"/>
        <scheme val="minor"/>
      </rPr>
      <t>Ristet Rug</t>
    </r>
  </si>
  <si>
    <t>Kommunal Tandpleje/Tandklinikken Søndersøskolen, Nygårdsterrasserne, Kirke Værløse</t>
  </si>
  <si>
    <t>Søndersø FFO 1</t>
  </si>
  <si>
    <t>Søndersø FFO 2, Solbjerggaard</t>
  </si>
  <si>
    <t>Lille Værløse Skole, Madkundskab</t>
  </si>
  <si>
    <t>Madhus, Det danske - ekstern opgørelse uden kg, kun øko% oplyses</t>
  </si>
  <si>
    <t>Furesø Bibliotek, frugt- og kaffeordning</t>
  </si>
  <si>
    <t>Svanepunktet Plejecenter, Svane</t>
  </si>
  <si>
    <t>Svanepunktet, Bofællesskabet</t>
  </si>
  <si>
    <t>Syvstjerneskolen, møder og kontor</t>
  </si>
  <si>
    <t>Broen, specialtilbud 0. -9- kl.</t>
  </si>
  <si>
    <t>Fritidshjemmenes Andelsforening á 1986</t>
  </si>
  <si>
    <t>Paletten (Valhalla)</t>
  </si>
  <si>
    <t>Børnehuset Nørreskoven</t>
  </si>
  <si>
    <t>Anais Kulturcafé, Farum Kulturhus</t>
  </si>
  <si>
    <t>HB Kødgros, Tvilling, Driftsgården</t>
  </si>
  <si>
    <t>Dagplejen, kaffe (mad fra Mimers Brønd)</t>
  </si>
  <si>
    <t>Børnehuset Lyngholm nr. 15 (vuggest.)</t>
  </si>
  <si>
    <t>Børnehuset Lyngholm nr. 17 (børneh.)</t>
  </si>
  <si>
    <t>Fars Køkkenskole</t>
  </si>
  <si>
    <t>Hareskov Skole, natur</t>
  </si>
  <si>
    <t>Fiskebæk Naturskole</t>
  </si>
  <si>
    <t>TO numre; 200079202; 200531038</t>
  </si>
  <si>
    <t>TO numre; 200525105; 200525099</t>
  </si>
  <si>
    <t>Hørkram kundenummer</t>
  </si>
  <si>
    <t>Lille Værløse Skole, adm. (kaffe)</t>
  </si>
  <si>
    <t>Hareskov FFO - Gasværket, klub</t>
  </si>
  <si>
    <t>Skiftesporet/Social Psykiatrien</t>
  </si>
  <si>
    <t>Lille Værløse Skoles FFO 1 (Miniklub)</t>
  </si>
  <si>
    <t>Lille Værløse Skoles FFO 2 (Toppen)</t>
  </si>
  <si>
    <t>Lillestjernen FFO</t>
  </si>
  <si>
    <t>Syvstjerneklubben &amp; kantine</t>
  </si>
  <si>
    <t>Institutionstype</t>
  </si>
  <si>
    <t>Børneinstitution</t>
  </si>
  <si>
    <t>FFO+Klub</t>
  </si>
  <si>
    <t>Social+Kultur</t>
  </si>
  <si>
    <t>Skolekantiner</t>
  </si>
  <si>
    <t>Madkundskab</t>
  </si>
  <si>
    <t>Ældre</t>
  </si>
  <si>
    <t>Rådhus</t>
  </si>
  <si>
    <t>Møder m.v.</t>
  </si>
  <si>
    <t>Cassiopeia, Galaksen. Opgøres af Cassiopeia</t>
  </si>
  <si>
    <t/>
  </si>
  <si>
    <t>Nettovægt (kg)</t>
  </si>
  <si>
    <t>KundeNr</t>
  </si>
  <si>
    <t>KundeNavn</t>
  </si>
  <si>
    <t>Omf.</t>
  </si>
  <si>
    <t>Øko.</t>
  </si>
  <si>
    <t>Øko%</t>
  </si>
  <si>
    <t xml:space="preserve">Ej Omf. </t>
  </si>
  <si>
    <t>Stavnsholt Børnehus</t>
  </si>
  <si>
    <t>Farum Nordby Børnehus</t>
  </si>
  <si>
    <t>Daginstitutionen Solstrålen</t>
  </si>
  <si>
    <t>Svanepunktet Plejecenter</t>
  </si>
  <si>
    <t>Stavnholtskolen</t>
  </si>
  <si>
    <t>Social Psykiatrien</t>
  </si>
  <si>
    <t>Børnehuset Lyngholm Børnehave</t>
  </si>
  <si>
    <t>Paletten</t>
  </si>
  <si>
    <t>Lille Værløse Skole</t>
  </si>
  <si>
    <t>Fritidsklubben Gasværket</t>
  </si>
  <si>
    <t>Ll Værløse Skole Ffo2 Toppen</t>
  </si>
  <si>
    <t>Lille Værløse Skole Ffo 1</t>
  </si>
  <si>
    <t>Børnehuset Lyngholm Vuggestue</t>
  </si>
  <si>
    <t>Ffo Lillestjernen</t>
  </si>
  <si>
    <t>Værløse Rådhus Frugt</t>
  </si>
  <si>
    <t>Cassiopeia Værløse Galaksen</t>
  </si>
  <si>
    <t>Slottet Gasværket</t>
  </si>
  <si>
    <t>Farum Vejgård Vuggestuen</t>
  </si>
  <si>
    <t>Børnehuset Atlantis</t>
  </si>
  <si>
    <t>Vingesus</t>
  </si>
  <si>
    <t>Lillestjernen Møde</t>
  </si>
  <si>
    <t>Syvstjerneskolen *Klub*</t>
  </si>
  <si>
    <t>Syvstjerneskolen</t>
  </si>
  <si>
    <t>Værløse Rådhus</t>
  </si>
  <si>
    <t>Aktivitetscenteret Skovgården</t>
  </si>
  <si>
    <t>Kornelhaven Gr. 3</t>
  </si>
  <si>
    <t>Åkanden Børnehus - Køkken</t>
  </si>
  <si>
    <t>Børnehuset Egetræet</t>
  </si>
  <si>
    <t>Blommehaven Gr. 3</t>
  </si>
  <si>
    <t>Magnoliehaven  - Gruppe 3</t>
  </si>
  <si>
    <t>Syrenhaven Gr. 1</t>
  </si>
  <si>
    <t>Lillevang *Køkken</t>
  </si>
  <si>
    <t>Rækkemærkater</t>
  </si>
  <si>
    <t>Hovedtotal</t>
  </si>
  <si>
    <t>Sum af Omfattet kg</t>
  </si>
  <si>
    <t>Sum af Øko kg</t>
  </si>
  <si>
    <t>Registreret hos FVST</t>
  </si>
  <si>
    <t>Ikke registreret hos FVST</t>
  </si>
  <si>
    <t>Sum af Øko%</t>
  </si>
  <si>
    <t>Nemlig.com</t>
  </si>
  <si>
    <t>Børnehuset Birkhøj - møder</t>
  </si>
  <si>
    <t>Lillestjernen FFO, møder</t>
  </si>
  <si>
    <t>Lyngholm FFO</t>
  </si>
  <si>
    <t xml:space="preserve">Stavnsholt FFO (Raketten+Turbodragen) </t>
  </si>
  <si>
    <t>Hareskov FFO Kaffe</t>
  </si>
  <si>
    <t xml:space="preserve">Søndersø, Botræningstilbud </t>
  </si>
  <si>
    <t>Customer number</t>
  </si>
  <si>
    <t>Customer name</t>
  </si>
  <si>
    <t>Bofællesskabet  Svanepunktet</t>
  </si>
  <si>
    <t>Bofællesskabet Syvstjerne Vænge</t>
  </si>
  <si>
    <t>Egeskolen</t>
  </si>
  <si>
    <t>Farumsødal integreret institution</t>
  </si>
  <si>
    <t>FFO Lillestjernen</t>
  </si>
  <si>
    <t>Ffo Lyngholm</t>
  </si>
  <si>
    <t>FFO Stavnsholt</t>
  </si>
  <si>
    <t>Fritidsklubben Solbjerggård</t>
  </si>
  <si>
    <t>Fritids-ungdomsklubben Regnbuen</t>
  </si>
  <si>
    <t>Furesøgaard fritidsklub</t>
  </si>
  <si>
    <t>Hareskov FFO</t>
  </si>
  <si>
    <t>Hareskov Skole</t>
  </si>
  <si>
    <t>Hareskov skole</t>
  </si>
  <si>
    <t>Lille Værløse Skole/ Madkundskab</t>
  </si>
  <si>
    <t>Lillestjernen</t>
  </si>
  <si>
    <t>Solbjerghaven</t>
  </si>
  <si>
    <t>Solvang ffo</t>
  </si>
  <si>
    <t>Solvangskolen</t>
  </si>
  <si>
    <t>Specialbørnehaven Humlehaven</t>
  </si>
  <si>
    <t>Stavnsholtskolen</t>
  </si>
  <si>
    <t>Syvstjerneklubben</t>
  </si>
  <si>
    <t>Søndersø Botræningstilbud</t>
  </si>
  <si>
    <t>Søndersøskolen</t>
  </si>
  <si>
    <t>UngFuresø</t>
  </si>
  <si>
    <t>Lille Værløse Skole, kantinen</t>
  </si>
  <si>
    <t>Stavnsholtskolen, madkundskab og møder</t>
  </si>
  <si>
    <t>Søndersøskolen - kontor</t>
  </si>
  <si>
    <t>Søndersøskolen - madkundskab</t>
  </si>
  <si>
    <t>Lyngholmskolen</t>
  </si>
  <si>
    <t>Lyngholmskolen *Kontor*</t>
  </si>
  <si>
    <t>Furesø Rehabilitering</t>
  </si>
  <si>
    <t>to numre; 200106717+200042992</t>
  </si>
  <si>
    <t>Furesø familiehus</t>
  </si>
  <si>
    <t>Lille Værløse Skole FFO (Jonstrup afd.)</t>
  </si>
  <si>
    <t>Furesø tandpleje</t>
  </si>
  <si>
    <t>Solstrålen</t>
  </si>
  <si>
    <t>Lyngholmskolen, kantinen</t>
  </si>
  <si>
    <t>Lyngholmskolen, Administration (gul dør)</t>
  </si>
  <si>
    <t>Lille Værløse Skole, gruppeordningen</t>
  </si>
  <si>
    <t>syvstjerneskolen</t>
  </si>
  <si>
    <t>Stavnsholt Børnehus, integr.</t>
  </si>
  <si>
    <t>EKG</t>
  </si>
  <si>
    <t>990028480</t>
  </si>
  <si>
    <t>Furesø Kommune SKI 50.90</t>
  </si>
  <si>
    <t>Børnehuset Siv</t>
  </si>
  <si>
    <t>Furesø Kom. Miljøafd.</t>
  </si>
  <si>
    <t>lille Værløse skole</t>
  </si>
  <si>
    <t>IT-Forsyningen</t>
  </si>
  <si>
    <t>Lyngholmskolen Lg</t>
  </si>
  <si>
    <t>To numre; 200159676; 200220246</t>
  </si>
  <si>
    <t>Lillevang - Rosenhaven</t>
  </si>
  <si>
    <t>Røde Sol</t>
  </si>
  <si>
    <t>Furesø Kommunale Tandpleje</t>
  </si>
  <si>
    <t>Kulturhuset Galaksen</t>
  </si>
  <si>
    <r>
      <t>Lillevang (Rokkedyssegård +Rema)</t>
    </r>
    <r>
      <rPr>
        <b/>
        <sz val="11"/>
        <color rgb="FF92D050"/>
        <rFont val="Calibri"/>
        <family val="2"/>
        <scheme val="minor"/>
      </rPr>
      <t>/Lynghuset/Værløse Svømmehal (Natursli</t>
    </r>
    <r>
      <rPr>
        <b/>
        <sz val="11"/>
        <color theme="1"/>
        <rFont val="Calibri"/>
        <family val="2"/>
        <scheme val="minor"/>
      </rPr>
      <t>k/Premier IS)</t>
    </r>
  </si>
  <si>
    <t>Weight in kilo for ecology items</t>
  </si>
  <si>
    <t>Total weight in kilo</t>
  </si>
  <si>
    <t>Furesø Kommune</t>
  </si>
  <si>
    <t>Birkhøj</t>
  </si>
  <si>
    <t>Driftgården - Furesø Kommune</t>
  </si>
  <si>
    <t>Nemlig kundenummer 1</t>
  </si>
  <si>
    <t>Nemlig kundenummer 2</t>
  </si>
  <si>
    <t>Nemlig kundenummer 3</t>
  </si>
  <si>
    <t>Nemlig kundenummer 4</t>
  </si>
  <si>
    <t>Furesø Genoptræning Mælk</t>
  </si>
  <si>
    <t>Skolelandbruget og Haver til Maver</t>
  </si>
  <si>
    <t>Lyngholmskolen - Madkundskab</t>
  </si>
  <si>
    <t>Lille Værløse Skole, gr.ordn. MAD+KLUB</t>
  </si>
  <si>
    <t>Furesø Bibliotekerne</t>
  </si>
  <si>
    <t>Kometen</t>
  </si>
  <si>
    <t>Farum Lilleskole</t>
  </si>
  <si>
    <t>Pl.hj. Lillev.afd.Rosenh-1.Sal</t>
  </si>
  <si>
    <t>to numre; 200221267; 200230108</t>
  </si>
  <si>
    <t>skole</t>
  </si>
  <si>
    <t xml:space="preserve">Stavnsholtskolen, kantinen. </t>
  </si>
  <si>
    <t>Sundhedsplejen Furesø</t>
  </si>
  <si>
    <t>Andelsforeningen anno 1986</t>
  </si>
  <si>
    <t>Furesøgård Fritidsklub</t>
  </si>
  <si>
    <t>3. kvartal 25</t>
  </si>
  <si>
    <t>Kundenummer</t>
  </si>
  <si>
    <t>Selected dimension field</t>
  </si>
  <si>
    <t>total kg</t>
  </si>
  <si>
    <t>Marie Kruses skole</t>
  </si>
  <si>
    <t>maria østergaard</t>
  </si>
  <si>
    <r>
      <rPr>
        <sz val="11"/>
        <rFont val="Calibri"/>
        <family val="2"/>
        <scheme val="minor"/>
      </rPr>
      <t xml:space="preserve">Frellsen, </t>
    </r>
    <r>
      <rPr>
        <b/>
        <sz val="11"/>
        <rFont val="Calibri"/>
        <family val="2"/>
        <scheme val="minor"/>
      </rPr>
      <t xml:space="preserve">JDE og BKI                                        </t>
    </r>
  </si>
  <si>
    <t>Periode: 01-07-2025 .. 30-09-2025</t>
  </si>
  <si>
    <t>Grundvand</t>
  </si>
  <si>
    <t>EAN nummer</t>
  </si>
  <si>
    <t>Liter skånet</t>
  </si>
  <si>
    <t>5798008526350</t>
  </si>
  <si>
    <t>5798008504372</t>
  </si>
  <si>
    <t>Pl.hj. Lillev.afd.Rosenh-stuen</t>
  </si>
  <si>
    <t>5798008526381</t>
  </si>
  <si>
    <t>5798008526497</t>
  </si>
  <si>
    <t>5798008526916</t>
  </si>
  <si>
    <t>5798008526619</t>
  </si>
  <si>
    <t>5798008506956</t>
  </si>
  <si>
    <t>5790000411863</t>
  </si>
  <si>
    <t>5798008526404</t>
  </si>
  <si>
    <t>5798008526305</t>
  </si>
  <si>
    <t>5798008506987</t>
  </si>
  <si>
    <t>5798008504167</t>
  </si>
  <si>
    <t>5798008526329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</si>
</sst>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* #,##0.00\ &quot;kr.&quot;_-;\-* #,##0.00\ &quot;kr.&quot;_-;_-* &quot;-&quot;??\ &quot;kr.&quot;_-;_-@_-"/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_ * #,##0.000_ ;_ * \-#,##0.000_ ;_ * &quot;-&quot;??_ ;_ @_ "/>
    <numFmt numFmtId="167" formatCode="#,##0_ ;\-#,##0\ "/>
    <numFmt numFmtId="168" formatCode="_ * #,##0.0000_ ;_ * \-#,##0.0000_ ;_ * &quot;-&quot;??_ ;_ @_ "/>
    <numFmt numFmtId="169" formatCode="0.0"/>
    <numFmt numFmtId="170" formatCode="[$-10406]#,##0.0"/>
    <numFmt numFmtId="171" formatCode="###,000"/>
    <numFmt numFmtId="172" formatCode="[$-10406]#,##0.00%"/>
    <numFmt numFmtId="173" formatCode="[$-10406]#,##0.0;\(#,##0.0\)"/>
    <numFmt numFmtId="174" formatCode="_ * #,##0.0_ ;_ * \-#,##0.0_ ;_ * &quot;-&quot;??_ ;_ @_ "/>
    <numFmt numFmtId="175" formatCode="[$-10406]#,##0;\-#,##0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1F497D"/>
      <name val="Verdana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</font>
    <font>
      <b/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rgb="FFACB9CA"/>
      </left>
      <right style="thin">
        <color rgb="FFACB9CA"/>
      </right>
      <top style="thin">
        <color rgb="FFACB9CA"/>
      </top>
      <bottom style="thin">
        <color rgb="FFACB9CA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</borders>
  <cellStyleXfs count="69">
    <xf numFmtId="0" fontId="0" fillId="0" borderId="0"/>
    <xf numFmtId="164" fontId="2" fillId="0" borderId="0" applyFont="0" applyFill="0" applyBorder="0" applyAlignment="0" applyProtection="0"/>
    <xf numFmtId="0" fontId="4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6" borderId="8" applyNumberFormat="0" applyAlignment="0" applyProtection="0"/>
    <xf numFmtId="0" fontId="15" fillId="7" borderId="9" applyNumberFormat="0" applyAlignment="0" applyProtection="0"/>
    <xf numFmtId="0" fontId="16" fillId="7" borderId="8" applyNumberFormat="0" applyAlignment="0" applyProtection="0"/>
    <xf numFmtId="0" fontId="17" fillId="0" borderId="10" applyNumberFormat="0" applyFill="0" applyAlignment="0" applyProtection="0"/>
    <xf numFmtId="0" fontId="18" fillId="8" borderId="11" applyNumberFormat="0" applyAlignment="0" applyProtection="0"/>
    <xf numFmtId="0" fontId="19" fillId="0" borderId="0" applyNumberFormat="0" applyFill="0" applyBorder="0" applyAlignment="0" applyProtection="0"/>
    <xf numFmtId="0" fontId="2" fillId="9" borderId="12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13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4" fillId="0" borderId="0"/>
    <xf numFmtId="0" fontId="22" fillId="0" borderId="0"/>
    <xf numFmtId="0" fontId="23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3" fillId="0" borderId="0"/>
    <xf numFmtId="171" fontId="36" fillId="0" borderId="35" applyNumberFormat="0" applyProtection="0">
      <alignment horizontal="right" vertical="center"/>
    </xf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40" fillId="0" borderId="0"/>
    <xf numFmtId="43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44" fontId="40" fillId="0" borderId="0" applyFont="0" applyFill="0" applyBorder="0" applyAlignment="0" applyProtection="0"/>
  </cellStyleXfs>
  <cellXfs count="249">
    <xf numFmtId="0" fontId="0" fillId="0" borderId="0" xfId="0"/>
    <xf numFmtId="0" fontId="0" fillId="0" borderId="1" xfId="0" applyBorder="1"/>
    <xf numFmtId="164" fontId="3" fillId="0" borderId="0" xfId="1" applyFont="1" applyAlignment="1">
      <alignment vertical="top"/>
    </xf>
    <xf numFmtId="0" fontId="2" fillId="2" borderId="0" xfId="0" applyFont="1" applyFill="1" applyAlignment="1">
      <alignment vertical="top"/>
    </xf>
    <xf numFmtId="164" fontId="26" fillId="0" borderId="0" xfId="1" applyFont="1" applyAlignment="1">
      <alignment vertical="top"/>
    </xf>
    <xf numFmtId="164" fontId="26" fillId="0" borderId="0" xfId="1" applyFont="1" applyFill="1" applyAlignment="1">
      <alignment vertical="top"/>
    </xf>
    <xf numFmtId="0" fontId="1" fillId="0" borderId="1" xfId="0" applyFont="1" applyBorder="1"/>
    <xf numFmtId="164" fontId="3" fillId="0" borderId="0" xfId="1" applyFont="1" applyFill="1" applyAlignment="1">
      <alignment vertical="top"/>
    </xf>
    <xf numFmtId="164" fontId="31" fillId="0" borderId="4" xfId="1" applyFont="1" applyBorder="1" applyAlignment="1">
      <alignment vertical="top"/>
    </xf>
    <xf numFmtId="0" fontId="25" fillId="0" borderId="0" xfId="0" applyFont="1"/>
    <xf numFmtId="0" fontId="0" fillId="34" borderId="1" xfId="0" applyFill="1" applyBorder="1"/>
    <xf numFmtId="164" fontId="3" fillId="0" borderId="24" xfId="1" applyFont="1" applyFill="1" applyBorder="1" applyAlignment="1">
      <alignment vertical="top"/>
    </xf>
    <xf numFmtId="169" fontId="0" fillId="0" borderId="0" xfId="0" applyNumberFormat="1"/>
    <xf numFmtId="164" fontId="3" fillId="0" borderId="27" xfId="1" applyFont="1" applyFill="1" applyBorder="1" applyAlignment="1">
      <alignment vertical="top"/>
    </xf>
    <xf numFmtId="1" fontId="0" fillId="34" borderId="1" xfId="0" applyNumberFormat="1" applyFill="1" applyBorder="1"/>
    <xf numFmtId="164" fontId="3" fillId="0" borderId="23" xfId="1" applyFont="1" applyFill="1" applyBorder="1" applyAlignment="1">
      <alignment vertical="top"/>
    </xf>
    <xf numFmtId="1" fontId="0" fillId="0" borderId="1" xfId="0" applyNumberFormat="1" applyBorder="1"/>
    <xf numFmtId="164" fontId="26" fillId="0" borderId="0" xfId="1" applyFont="1" applyFill="1" applyAlignment="1">
      <alignment vertical="top" wrapText="1"/>
    </xf>
    <xf numFmtId="165" fontId="25" fillId="0" borderId="0" xfId="1" applyNumberFormat="1" applyFont="1" applyAlignment="1">
      <alignment vertical="top"/>
    </xf>
    <xf numFmtId="165" fontId="30" fillId="0" borderId="0" xfId="1" applyNumberFormat="1" applyFont="1" applyBorder="1" applyAlignment="1">
      <alignment horizontal="right" vertical="top"/>
    </xf>
    <xf numFmtId="165" fontId="26" fillId="0" borderId="20" xfId="1" applyNumberFormat="1" applyFont="1" applyFill="1" applyBorder="1" applyAlignment="1">
      <alignment horizontal="right" vertical="top"/>
    </xf>
    <xf numFmtId="165" fontId="3" fillId="0" borderId="15" xfId="1" applyNumberFormat="1" applyFont="1" applyFill="1" applyBorder="1" applyAlignment="1">
      <alignment vertical="top"/>
    </xf>
    <xf numFmtId="165" fontId="3" fillId="0" borderId="0" xfId="1" applyNumberFormat="1" applyFont="1" applyAlignment="1">
      <alignment horizontal="right" vertical="top"/>
    </xf>
    <xf numFmtId="0" fontId="1" fillId="34" borderId="1" xfId="0" applyFont="1" applyFill="1" applyBorder="1"/>
    <xf numFmtId="164" fontId="0" fillId="0" borderId="0" xfId="1" applyFont="1" applyAlignment="1">
      <alignment vertical="top"/>
    </xf>
    <xf numFmtId="0" fontId="37" fillId="0" borderId="0" xfId="0" applyFont="1" applyAlignment="1">
      <alignment horizontal="left" vertical="top" wrapText="1" readingOrder="1"/>
    </xf>
    <xf numFmtId="164" fontId="27" fillId="0" borderId="0" xfId="1" applyFont="1" applyFill="1" applyBorder="1" applyAlignment="1">
      <alignment horizontal="left" vertical="top" wrapText="1"/>
    </xf>
    <xf numFmtId="164" fontId="1" fillId="0" borderId="0" xfId="1" applyFont="1" applyFill="1" applyBorder="1" applyAlignment="1">
      <alignment horizontal="center" vertical="top"/>
    </xf>
    <xf numFmtId="164" fontId="28" fillId="0" borderId="0" xfId="1" applyFont="1" applyFill="1" applyBorder="1" applyAlignment="1">
      <alignment vertical="top"/>
    </xf>
    <xf numFmtId="164" fontId="28" fillId="0" borderId="0" xfId="1" applyFont="1" applyBorder="1" applyAlignment="1">
      <alignment vertical="top"/>
    </xf>
    <xf numFmtId="164" fontId="3" fillId="0" borderId="0" xfId="1" applyFont="1" applyBorder="1" applyAlignment="1">
      <alignment horizontal="left" vertical="top" indent="3"/>
    </xf>
    <xf numFmtId="2" fontId="28" fillId="0" borderId="0" xfId="1" applyNumberFormat="1" applyFont="1" applyBorder="1" applyAlignment="1">
      <alignment vertical="top"/>
    </xf>
    <xf numFmtId="164" fontId="1" fillId="0" borderId="0" xfId="1" applyFont="1" applyFill="1" applyBorder="1" applyAlignment="1">
      <alignment vertical="top"/>
    </xf>
    <xf numFmtId="0" fontId="31" fillId="0" borderId="0" xfId="1" applyNumberFormat="1" applyFont="1" applyBorder="1" applyAlignment="1">
      <alignment vertical="top"/>
    </xf>
    <xf numFmtId="0" fontId="30" fillId="0" borderId="0" xfId="1" applyNumberFormat="1" applyFont="1" applyBorder="1" applyAlignment="1">
      <alignment vertical="top"/>
    </xf>
    <xf numFmtId="0" fontId="3" fillId="0" borderId="31" xfId="1" applyNumberFormat="1" applyFont="1" applyFill="1" applyBorder="1" applyAlignment="1">
      <alignment vertical="top"/>
    </xf>
    <xf numFmtId="0" fontId="3" fillId="0" borderId="0" xfId="1" applyNumberFormat="1" applyFont="1" applyFill="1" applyBorder="1" applyAlignment="1">
      <alignment vertical="top"/>
    </xf>
    <xf numFmtId="0" fontId="26" fillId="0" borderId="0" xfId="1" applyNumberFormat="1" applyFont="1" applyFill="1" applyAlignment="1">
      <alignment vertical="top"/>
    </xf>
    <xf numFmtId="0" fontId="0" fillId="0" borderId="0" xfId="1" applyNumberFormat="1" applyFont="1" applyAlignment="1">
      <alignment vertical="top"/>
    </xf>
    <xf numFmtId="0" fontId="3" fillId="0" borderId="0" xfId="1" applyNumberFormat="1" applyFont="1" applyAlignment="1">
      <alignment vertical="top"/>
    </xf>
    <xf numFmtId="164" fontId="2" fillId="0" borderId="0" xfId="64" applyFont="1" applyAlignment="1">
      <alignment vertical="top"/>
    </xf>
    <xf numFmtId="164" fontId="2" fillId="0" borderId="0" xfId="64" applyFont="1" applyFill="1" applyAlignment="1">
      <alignment vertical="top"/>
    </xf>
    <xf numFmtId="165" fontId="2" fillId="0" borderId="0" xfId="64" applyNumberFormat="1" applyFont="1" applyFill="1" applyAlignment="1">
      <alignment vertical="top"/>
    </xf>
    <xf numFmtId="165" fontId="2" fillId="0" borderId="0" xfId="64" applyNumberFormat="1" applyFont="1" applyAlignment="1">
      <alignment vertical="top"/>
    </xf>
    <xf numFmtId="168" fontId="3" fillId="0" borderId="0" xfId="64" applyNumberFormat="1" applyFont="1" applyFill="1" applyAlignment="1">
      <alignment vertical="top"/>
    </xf>
    <xf numFmtId="166" fontId="2" fillId="0" borderId="0" xfId="64" applyNumberFormat="1" applyFont="1" applyFill="1" applyAlignment="1">
      <alignment vertical="top"/>
    </xf>
    <xf numFmtId="164" fontId="3" fillId="0" borderId="0" xfId="64" applyFont="1" applyFill="1" applyAlignment="1">
      <alignment vertical="top"/>
    </xf>
    <xf numFmtId="164" fontId="3" fillId="0" borderId="0" xfId="64" applyFont="1" applyAlignment="1">
      <alignment horizontal="right" vertical="top"/>
    </xf>
    <xf numFmtId="164" fontId="3" fillId="0" borderId="0" xfId="64" applyFont="1" applyAlignment="1">
      <alignment vertical="top"/>
    </xf>
    <xf numFmtId="168" fontId="2" fillId="0" borderId="0" xfId="64" applyNumberFormat="1" applyFont="1" applyFill="1" applyAlignment="1">
      <alignment vertical="top"/>
    </xf>
    <xf numFmtId="166" fontId="2" fillId="0" borderId="0" xfId="64" applyNumberFormat="1" applyFont="1" applyFill="1" applyAlignment="1">
      <alignment horizontal="right" vertical="top"/>
    </xf>
    <xf numFmtId="165" fontId="3" fillId="0" borderId="0" xfId="64" applyNumberFormat="1" applyFont="1" applyFill="1" applyAlignment="1">
      <alignment vertical="top"/>
    </xf>
    <xf numFmtId="165" fontId="1" fillId="0" borderId="18" xfId="64" applyNumberFormat="1" applyFont="1" applyFill="1" applyBorder="1" applyAlignment="1">
      <alignment vertical="top"/>
    </xf>
    <xf numFmtId="167" fontId="1" fillId="0" borderId="18" xfId="64" applyNumberFormat="1" applyFont="1" applyFill="1" applyBorder="1" applyAlignment="1">
      <alignment vertical="top"/>
    </xf>
    <xf numFmtId="165" fontId="1" fillId="0" borderId="22" xfId="64" applyNumberFormat="1" applyFont="1" applyFill="1" applyBorder="1" applyAlignment="1">
      <alignment vertical="top"/>
    </xf>
    <xf numFmtId="165" fontId="1" fillId="0" borderId="18" xfId="64" applyNumberFormat="1" applyFont="1" applyFill="1" applyBorder="1" applyAlignment="1">
      <alignment horizontal="right" vertical="top"/>
    </xf>
    <xf numFmtId="164" fontId="29" fillId="0" borderId="30" xfId="64" applyFont="1" applyFill="1" applyBorder="1" applyAlignment="1">
      <alignment horizontal="left" vertical="top"/>
    </xf>
    <xf numFmtId="165" fontId="3" fillId="0" borderId="24" xfId="64" applyNumberFormat="1" applyFont="1" applyFill="1" applyBorder="1" applyAlignment="1">
      <alignment vertical="top"/>
    </xf>
    <xf numFmtId="165" fontId="3" fillId="0" borderId="24" xfId="64" applyNumberFormat="1" applyFont="1" applyFill="1" applyBorder="1" applyAlignment="1">
      <alignment horizontal="right" vertical="top"/>
    </xf>
    <xf numFmtId="165" fontId="3" fillId="0" borderId="24" xfId="64" applyNumberFormat="1" applyFont="1" applyBorder="1" applyAlignment="1">
      <alignment vertical="top"/>
    </xf>
    <xf numFmtId="165" fontId="3" fillId="0" borderId="24" xfId="64" applyNumberFormat="1" applyFont="1" applyBorder="1" applyAlignment="1">
      <alignment horizontal="right" vertical="top"/>
    </xf>
    <xf numFmtId="165" fontId="3" fillId="0" borderId="23" xfId="64" applyNumberFormat="1" applyFont="1" applyFill="1" applyBorder="1" applyAlignment="1">
      <alignment vertical="top"/>
    </xf>
    <xf numFmtId="164" fontId="1" fillId="0" borderId="18" xfId="64" applyFont="1" applyFill="1" applyBorder="1" applyAlignment="1">
      <alignment horizontal="center" vertical="top"/>
    </xf>
    <xf numFmtId="164" fontId="1" fillId="0" borderId="17" xfId="64" applyFont="1" applyFill="1" applyBorder="1" applyAlignment="1">
      <alignment horizontal="center" vertical="top"/>
    </xf>
    <xf numFmtId="165" fontId="1" fillId="0" borderId="18" xfId="64" applyNumberFormat="1" applyFont="1" applyBorder="1" applyAlignment="1">
      <alignment horizontal="center" vertical="top"/>
    </xf>
    <xf numFmtId="165" fontId="1" fillId="0" borderId="17" xfId="64" applyNumberFormat="1" applyFont="1" applyBorder="1" applyAlignment="1">
      <alignment horizontal="center" vertical="top"/>
    </xf>
    <xf numFmtId="168" fontId="6" fillId="0" borderId="18" xfId="64" applyNumberFormat="1" applyFont="1" applyFill="1" applyBorder="1" applyAlignment="1">
      <alignment horizontal="center" vertical="top"/>
    </xf>
    <xf numFmtId="168" fontId="6" fillId="0" borderId="17" xfId="64" applyNumberFormat="1" applyFont="1" applyFill="1" applyBorder="1" applyAlignment="1">
      <alignment horizontal="center" vertical="top"/>
    </xf>
    <xf numFmtId="166" fontId="1" fillId="0" borderId="18" xfId="64" applyNumberFormat="1" applyFont="1" applyFill="1" applyBorder="1" applyAlignment="1">
      <alignment horizontal="center" vertical="top"/>
    </xf>
    <xf numFmtId="166" fontId="1" fillId="0" borderId="17" xfId="64" applyNumberFormat="1" applyFont="1" applyFill="1" applyBorder="1" applyAlignment="1">
      <alignment horizontal="center" vertical="top"/>
    </xf>
    <xf numFmtId="164" fontId="1" fillId="0" borderId="14" xfId="64" applyFont="1" applyBorder="1" applyAlignment="1">
      <alignment horizontal="right" vertical="top"/>
    </xf>
    <xf numFmtId="164" fontId="3" fillId="0" borderId="29" xfId="64" applyFont="1" applyBorder="1" applyAlignment="1">
      <alignment vertical="top"/>
    </xf>
    <xf numFmtId="164" fontId="2" fillId="0" borderId="0" xfId="64" applyFont="1" applyFill="1" applyAlignment="1">
      <alignment vertical="top" wrapText="1"/>
    </xf>
    <xf numFmtId="164" fontId="6" fillId="0" borderId="28" xfId="64" applyFont="1" applyFill="1" applyBorder="1" applyAlignment="1">
      <alignment vertical="top" wrapText="1"/>
    </xf>
    <xf numFmtId="164" fontId="0" fillId="0" borderId="0" xfId="64" applyFont="1" applyFill="1" applyAlignment="1">
      <alignment horizontal="left" vertical="top" wrapText="1"/>
    </xf>
    <xf numFmtId="164" fontId="30" fillId="0" borderId="0" xfId="64" applyFont="1" applyBorder="1" applyAlignment="1">
      <alignment horizontal="right" vertical="top"/>
    </xf>
    <xf numFmtId="165" fontId="24" fillId="0" borderId="0" xfId="64" applyNumberFormat="1" applyFont="1" applyAlignment="1">
      <alignment vertical="top"/>
    </xf>
    <xf numFmtId="164" fontId="6" fillId="0" borderId="0" xfId="64" applyFont="1" applyFill="1" applyBorder="1" applyAlignment="1">
      <alignment vertical="top"/>
    </xf>
    <xf numFmtId="165" fontId="25" fillId="0" borderId="0" xfId="64" applyNumberFormat="1" applyFont="1" applyAlignment="1">
      <alignment horizontal="left" vertical="top"/>
    </xf>
    <xf numFmtId="164" fontId="31" fillId="0" borderId="4" xfId="64" applyFont="1" applyBorder="1" applyAlignment="1">
      <alignment vertical="top"/>
    </xf>
    <xf numFmtId="9" fontId="3" fillId="0" borderId="0" xfId="63" applyFont="1" applyFill="1" applyAlignment="1">
      <alignment vertical="top"/>
    </xf>
    <xf numFmtId="0" fontId="39" fillId="0" borderId="0" xfId="0" applyFont="1" applyAlignment="1">
      <alignment vertical="top" wrapText="1" readingOrder="1"/>
    </xf>
    <xf numFmtId="164" fontId="6" fillId="0" borderId="4" xfId="64" applyFont="1" applyBorder="1" applyAlignment="1">
      <alignment vertical="top"/>
    </xf>
    <xf numFmtId="164" fontId="6" fillId="0" borderId="4" xfId="1" applyFont="1" applyBorder="1" applyAlignment="1">
      <alignment vertical="top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9" fontId="0" fillId="0" borderId="0" xfId="0" applyNumberFormat="1"/>
    <xf numFmtId="164" fontId="31" fillId="0" borderId="0" xfId="64" applyFont="1" applyBorder="1" applyAlignment="1">
      <alignment vertical="top"/>
    </xf>
    <xf numFmtId="164" fontId="6" fillId="0" borderId="0" xfId="64" applyFont="1" applyBorder="1" applyAlignment="1">
      <alignment vertical="top"/>
    </xf>
    <xf numFmtId="3" fontId="0" fillId="0" borderId="0" xfId="0" applyNumberFormat="1"/>
    <xf numFmtId="164" fontId="1" fillId="0" borderId="22" xfId="64" applyFont="1" applyFill="1" applyBorder="1" applyAlignment="1">
      <alignment horizontal="right" vertical="top" wrapText="1"/>
    </xf>
    <xf numFmtId="164" fontId="3" fillId="0" borderId="36" xfId="64" applyFont="1" applyBorder="1" applyAlignment="1">
      <alignment vertical="top"/>
    </xf>
    <xf numFmtId="164" fontId="6" fillId="0" borderId="37" xfId="64" applyFont="1" applyFill="1" applyBorder="1" applyAlignment="1">
      <alignment vertical="top" wrapText="1"/>
    </xf>
    <xf numFmtId="165" fontId="6" fillId="0" borderId="0" xfId="1" applyNumberFormat="1" applyFont="1" applyFill="1" applyBorder="1" applyAlignment="1">
      <alignment vertical="top"/>
    </xf>
    <xf numFmtId="165" fontId="0" fillId="0" borderId="0" xfId="1" applyNumberFormat="1" applyFont="1"/>
    <xf numFmtId="165" fontId="3" fillId="0" borderId="0" xfId="1" applyNumberFormat="1" applyFont="1" applyFill="1" applyAlignment="1">
      <alignment vertical="top"/>
    </xf>
    <xf numFmtId="165" fontId="26" fillId="0" borderId="0" xfId="1" applyNumberFormat="1" applyFont="1" applyFill="1" applyAlignment="1">
      <alignment vertical="top"/>
    </xf>
    <xf numFmtId="165" fontId="26" fillId="0" borderId="0" xfId="1" applyNumberFormat="1" applyFont="1" applyAlignment="1">
      <alignment vertical="top"/>
    </xf>
    <xf numFmtId="165" fontId="3" fillId="0" borderId="19" xfId="1" applyNumberFormat="1" applyFont="1" applyFill="1" applyBorder="1" applyAlignment="1">
      <alignment vertical="top"/>
    </xf>
    <xf numFmtId="165" fontId="3" fillId="0" borderId="2" xfId="1" applyNumberFormat="1" applyFont="1" applyFill="1" applyBorder="1" applyAlignment="1">
      <alignment vertical="top"/>
    </xf>
    <xf numFmtId="0" fontId="41" fillId="0" borderId="0" xfId="65" applyFont="1"/>
    <xf numFmtId="0" fontId="40" fillId="0" borderId="0" xfId="65"/>
    <xf numFmtId="0" fontId="3" fillId="0" borderId="1" xfId="0" applyFont="1" applyBorder="1"/>
    <xf numFmtId="0" fontId="0" fillId="0" borderId="1" xfId="0" applyBorder="1" applyAlignment="1">
      <alignment horizontal="right"/>
    </xf>
    <xf numFmtId="0" fontId="19" fillId="0" borderId="1" xfId="0" applyFont="1" applyBorder="1"/>
    <xf numFmtId="0" fontId="0" fillId="0" borderId="32" xfId="0" applyBorder="1"/>
    <xf numFmtId="0" fontId="21" fillId="0" borderId="1" xfId="0" applyFont="1" applyBorder="1"/>
    <xf numFmtId="164" fontId="3" fillId="0" borderId="46" xfId="1" applyFont="1" applyFill="1" applyBorder="1" applyAlignment="1">
      <alignment vertical="top"/>
    </xf>
    <xf numFmtId="0" fontId="3" fillId="0" borderId="47" xfId="1" applyNumberFormat="1" applyFont="1" applyFill="1" applyBorder="1" applyAlignment="1">
      <alignment vertical="top"/>
    </xf>
    <xf numFmtId="165" fontId="3" fillId="0" borderId="33" xfId="1" applyNumberFormat="1" applyFont="1" applyFill="1" applyBorder="1" applyAlignment="1">
      <alignment vertical="top"/>
    </xf>
    <xf numFmtId="164" fontId="1" fillId="0" borderId="48" xfId="1" applyFont="1" applyFill="1" applyBorder="1" applyAlignment="1">
      <alignment vertical="top"/>
    </xf>
    <xf numFmtId="0" fontId="1" fillId="0" borderId="49" xfId="1" applyNumberFormat="1" applyFont="1" applyFill="1" applyBorder="1" applyAlignment="1">
      <alignment vertical="top"/>
    </xf>
    <xf numFmtId="165" fontId="1" fillId="0" borderId="50" xfId="1" applyNumberFormat="1" applyFont="1" applyFill="1" applyBorder="1" applyAlignment="1">
      <alignment vertical="top"/>
    </xf>
    <xf numFmtId="165" fontId="1" fillId="0" borderId="51" xfId="1" applyNumberFormat="1" applyFont="1" applyFill="1" applyBorder="1" applyAlignment="1">
      <alignment vertical="top"/>
    </xf>
    <xf numFmtId="165" fontId="1" fillId="0" borderId="52" xfId="1" applyNumberFormat="1" applyFont="1" applyFill="1" applyBorder="1" applyAlignment="1">
      <alignment vertical="top"/>
    </xf>
    <xf numFmtId="4" fontId="40" fillId="0" borderId="0" xfId="65" applyNumberFormat="1"/>
    <xf numFmtId="164" fontId="6" fillId="0" borderId="66" xfId="1" applyFont="1" applyFill="1" applyBorder="1" applyAlignment="1">
      <alignment vertical="top" wrapText="1"/>
    </xf>
    <xf numFmtId="0" fontId="6" fillId="0" borderId="67" xfId="1" applyNumberFormat="1" applyFont="1" applyFill="1" applyBorder="1" applyAlignment="1">
      <alignment vertical="top" wrapText="1"/>
    </xf>
    <xf numFmtId="0" fontId="6" fillId="0" borderId="68" xfId="1" applyNumberFormat="1" applyFont="1" applyFill="1" applyBorder="1" applyAlignment="1">
      <alignment vertical="top" wrapText="1"/>
    </xf>
    <xf numFmtId="0" fontId="6" fillId="0" borderId="69" xfId="1" applyNumberFormat="1" applyFont="1" applyFill="1" applyBorder="1" applyAlignment="1">
      <alignment vertical="top" wrapText="1"/>
    </xf>
    <xf numFmtId="0" fontId="6" fillId="0" borderId="66" xfId="1" applyNumberFormat="1" applyFont="1" applyFill="1" applyBorder="1" applyAlignment="1">
      <alignment vertical="top" wrapText="1"/>
    </xf>
    <xf numFmtId="165" fontId="1" fillId="0" borderId="70" xfId="1" applyNumberFormat="1" applyFont="1" applyFill="1" applyBorder="1" applyAlignment="1">
      <alignment horizontal="right" vertical="top" wrapText="1"/>
    </xf>
    <xf numFmtId="165" fontId="3" fillId="0" borderId="74" xfId="1" applyNumberFormat="1" applyFont="1" applyFill="1" applyBorder="1" applyAlignment="1">
      <alignment vertical="top"/>
    </xf>
    <xf numFmtId="165" fontId="3" fillId="0" borderId="75" xfId="1" applyNumberFormat="1" applyFont="1" applyFill="1" applyBorder="1" applyAlignment="1">
      <alignment vertical="top"/>
    </xf>
    <xf numFmtId="165" fontId="1" fillId="0" borderId="53" xfId="1" applyNumberFormat="1" applyFont="1" applyFill="1" applyBorder="1" applyAlignment="1">
      <alignment horizontal="center" vertical="top"/>
    </xf>
    <xf numFmtId="165" fontId="1" fillId="0" borderId="52" xfId="1" applyNumberFormat="1" applyFont="1" applyFill="1" applyBorder="1" applyAlignment="1">
      <alignment horizontal="center" vertical="top"/>
    </xf>
    <xf numFmtId="174" fontId="3" fillId="0" borderId="24" xfId="64" applyNumberFormat="1" applyFont="1" applyFill="1" applyBorder="1" applyAlignment="1">
      <alignment horizontal="right" vertical="top"/>
    </xf>
    <xf numFmtId="43" fontId="41" fillId="0" borderId="0" xfId="66" applyFont="1"/>
    <xf numFmtId="3" fontId="40" fillId="0" borderId="0" xfId="65" applyNumberFormat="1"/>
    <xf numFmtId="43" fontId="0" fillId="0" borderId="0" xfId="66" applyFont="1"/>
    <xf numFmtId="0" fontId="0" fillId="0" borderId="0" xfId="66" applyNumberFormat="1" applyFont="1"/>
    <xf numFmtId="1" fontId="40" fillId="0" borderId="0" xfId="65" applyNumberFormat="1"/>
    <xf numFmtId="1" fontId="3" fillId="0" borderId="31" xfId="1" applyNumberFormat="1" applyFont="1" applyFill="1" applyBorder="1" applyAlignment="1">
      <alignment vertical="top"/>
    </xf>
    <xf numFmtId="1" fontId="3" fillId="0" borderId="0" xfId="1" applyNumberFormat="1" applyFont="1" applyFill="1" applyBorder="1" applyAlignment="1">
      <alignment vertical="top"/>
    </xf>
    <xf numFmtId="0" fontId="0" fillId="2" borderId="1" xfId="0" applyFill="1" applyBorder="1"/>
    <xf numFmtId="0" fontId="43" fillId="0" borderId="0" xfId="61" applyFont="1"/>
    <xf numFmtId="0" fontId="44" fillId="0" borderId="40" xfId="61" applyFont="1" applyBorder="1" applyAlignment="1">
      <alignment horizontal="right" vertical="top" wrapText="1" readingOrder="1"/>
    </xf>
    <xf numFmtId="172" fontId="44" fillId="0" borderId="41" xfId="61" applyNumberFormat="1" applyFont="1" applyBorder="1" applyAlignment="1">
      <alignment horizontal="right" vertical="top" wrapText="1" readingOrder="1"/>
    </xf>
    <xf numFmtId="172" fontId="44" fillId="0" borderId="40" xfId="61" applyNumberFormat="1" applyFont="1" applyBorder="1" applyAlignment="1">
      <alignment vertical="top" wrapText="1" readingOrder="1"/>
    </xf>
    <xf numFmtId="165" fontId="3" fillId="0" borderId="53" xfId="1" applyNumberFormat="1" applyFont="1" applyFill="1" applyBorder="1" applyAlignment="1">
      <alignment vertical="top"/>
    </xf>
    <xf numFmtId="165" fontId="3" fillId="0" borderId="52" xfId="1" applyNumberFormat="1" applyFont="1" applyFill="1" applyBorder="1" applyAlignment="1">
      <alignment vertical="top"/>
    </xf>
    <xf numFmtId="165" fontId="1" fillId="0" borderId="45" xfId="1" applyNumberFormat="1" applyFont="1" applyFill="1" applyBorder="1" applyAlignment="1">
      <alignment vertical="top"/>
    </xf>
    <xf numFmtId="165" fontId="38" fillId="0" borderId="0" xfId="0" applyNumberFormat="1" applyFont="1" applyAlignment="1">
      <alignment horizontal="right" vertical="top" wrapText="1" readingOrder="1"/>
    </xf>
    <xf numFmtId="165" fontId="1" fillId="0" borderId="65" xfId="1" applyNumberFormat="1" applyFont="1" applyFill="1" applyBorder="1" applyAlignment="1">
      <alignment horizontal="center" vertical="top"/>
    </xf>
    <xf numFmtId="165" fontId="3" fillId="0" borderId="76" xfId="1" applyNumberFormat="1" applyFont="1" applyFill="1" applyBorder="1" applyAlignment="1">
      <alignment vertical="top"/>
    </xf>
    <xf numFmtId="165" fontId="1" fillId="0" borderId="59" xfId="1" applyNumberFormat="1" applyFont="1" applyFill="1" applyBorder="1" applyAlignment="1">
      <alignment vertical="top"/>
    </xf>
    <xf numFmtId="165" fontId="1" fillId="0" borderId="60" xfId="1" applyNumberFormat="1" applyFont="1" applyFill="1" applyBorder="1" applyAlignment="1">
      <alignment vertical="top"/>
    </xf>
    <xf numFmtId="165" fontId="3" fillId="0" borderId="0" xfId="1" applyNumberFormat="1" applyFont="1" applyFill="1" applyBorder="1" applyAlignment="1">
      <alignment vertical="top"/>
    </xf>
    <xf numFmtId="165" fontId="6" fillId="0" borderId="53" xfId="1" applyNumberFormat="1" applyFont="1" applyFill="1" applyBorder="1" applyAlignment="1">
      <alignment horizontal="center" vertical="top"/>
    </xf>
    <xf numFmtId="165" fontId="6" fillId="0" borderId="50" xfId="1" applyNumberFormat="1" applyFont="1" applyFill="1" applyBorder="1" applyAlignment="1">
      <alignment horizontal="center" vertical="top"/>
    </xf>
    <xf numFmtId="165" fontId="3" fillId="0" borderId="78" xfId="1" applyNumberFormat="1" applyFont="1" applyFill="1" applyBorder="1" applyAlignment="1">
      <alignment vertical="top"/>
    </xf>
    <xf numFmtId="165" fontId="3" fillId="0" borderId="79" xfId="1" applyNumberFormat="1" applyFont="1" applyFill="1" applyBorder="1" applyAlignment="1">
      <alignment vertical="top"/>
    </xf>
    <xf numFmtId="165" fontId="35" fillId="0" borderId="3" xfId="0" applyNumberFormat="1" applyFont="1" applyBorder="1" applyAlignment="1">
      <alignment wrapText="1"/>
    </xf>
    <xf numFmtId="165" fontId="0" fillId="0" borderId="16" xfId="0" applyNumberFormat="1" applyBorder="1"/>
    <xf numFmtId="165" fontId="35" fillId="0" borderId="1" xfId="0" applyNumberFormat="1" applyFont="1" applyBorder="1"/>
    <xf numFmtId="165" fontId="3" fillId="0" borderId="3" xfId="1" applyNumberFormat="1" applyFont="1" applyFill="1" applyBorder="1" applyAlignment="1">
      <alignment vertical="top"/>
    </xf>
    <xf numFmtId="165" fontId="3" fillId="0" borderId="16" xfId="1" applyNumberFormat="1" applyFont="1" applyFill="1" applyBorder="1" applyAlignment="1">
      <alignment vertical="top"/>
    </xf>
    <xf numFmtId="165" fontId="35" fillId="0" borderId="3" xfId="0" applyNumberFormat="1" applyFont="1" applyBorder="1"/>
    <xf numFmtId="165" fontId="3" fillId="0" borderId="1" xfId="1" applyNumberFormat="1" applyFont="1" applyFill="1" applyBorder="1" applyAlignment="1">
      <alignment vertical="top"/>
    </xf>
    <xf numFmtId="165" fontId="35" fillId="0" borderId="16" xfId="0" applyNumberFormat="1" applyFont="1" applyBorder="1"/>
    <xf numFmtId="165" fontId="0" fillId="0" borderId="1" xfId="0" applyNumberFormat="1" applyBorder="1"/>
    <xf numFmtId="165" fontId="35" fillId="0" borderId="2" xfId="0" applyNumberFormat="1" applyFont="1" applyBorder="1"/>
    <xf numFmtId="165" fontId="3" fillId="0" borderId="47" xfId="1" applyNumberFormat="1" applyFont="1" applyFill="1" applyBorder="1" applyAlignment="1">
      <alignment vertical="top"/>
    </xf>
    <xf numFmtId="165" fontId="3" fillId="0" borderId="34" xfId="1" applyNumberFormat="1" applyFont="1" applyFill="1" applyBorder="1" applyAlignment="1">
      <alignment vertical="top"/>
    </xf>
    <xf numFmtId="165" fontId="6" fillId="0" borderId="51" xfId="1" applyNumberFormat="1" applyFont="1" applyFill="1" applyBorder="1" applyAlignment="1">
      <alignment vertical="top"/>
    </xf>
    <xf numFmtId="164" fontId="24" fillId="0" borderId="0" xfId="1" applyFont="1" applyFill="1" applyAlignment="1">
      <alignment vertical="top"/>
    </xf>
    <xf numFmtId="164" fontId="1" fillId="0" borderId="51" xfId="1" applyFont="1" applyFill="1" applyBorder="1" applyAlignment="1">
      <alignment horizontal="center" vertical="top"/>
    </xf>
    <xf numFmtId="165" fontId="1" fillId="0" borderId="50" xfId="1" applyNumberFormat="1" applyFont="1" applyFill="1" applyBorder="1" applyAlignment="1">
      <alignment horizontal="center" vertical="top"/>
    </xf>
    <xf numFmtId="165" fontId="35" fillId="0" borderId="76" xfId="0" applyNumberFormat="1" applyFont="1" applyBorder="1" applyAlignment="1">
      <alignment wrapText="1"/>
    </xf>
    <xf numFmtId="165" fontId="0" fillId="0" borderId="77" xfId="0" applyNumberFormat="1" applyBorder="1"/>
    <xf numFmtId="165" fontId="35" fillId="0" borderId="55" xfId="0" applyNumberFormat="1" applyFont="1" applyBorder="1"/>
    <xf numFmtId="165" fontId="35" fillId="0" borderId="56" xfId="0" applyNumberFormat="1" applyFont="1" applyBorder="1"/>
    <xf numFmtId="165" fontId="3" fillId="0" borderId="55" xfId="1" applyNumberFormat="1" applyFont="1" applyFill="1" applyBorder="1" applyAlignment="1">
      <alignment vertical="top"/>
    </xf>
    <xf numFmtId="165" fontId="3" fillId="0" borderId="56" xfId="1" applyNumberFormat="1" applyFont="1" applyFill="1" applyBorder="1" applyAlignment="1">
      <alignment vertical="top"/>
    </xf>
    <xf numFmtId="165" fontId="35" fillId="0" borderId="55" xfId="0" applyNumberFormat="1" applyFont="1" applyBorder="1" applyAlignment="1">
      <alignment wrapText="1"/>
    </xf>
    <xf numFmtId="165" fontId="3" fillId="0" borderId="62" xfId="1" applyNumberFormat="1" applyFont="1" applyFill="1" applyBorder="1" applyAlignment="1">
      <alignment vertical="top"/>
    </xf>
    <xf numFmtId="165" fontId="3" fillId="0" borderId="63" xfId="1" applyNumberFormat="1" applyFont="1" applyFill="1" applyBorder="1" applyAlignment="1">
      <alignment vertical="top"/>
    </xf>
    <xf numFmtId="165" fontId="0" fillId="0" borderId="56" xfId="0" applyNumberFormat="1" applyBorder="1"/>
    <xf numFmtId="1" fontId="0" fillId="0" borderId="64" xfId="0" applyNumberFormat="1" applyBorder="1"/>
    <xf numFmtId="164" fontId="1" fillId="0" borderId="65" xfId="1" applyFont="1" applyFill="1" applyBorder="1" applyAlignment="1">
      <alignment vertical="top"/>
    </xf>
    <xf numFmtId="165" fontId="1" fillId="0" borderId="45" xfId="1" applyNumberFormat="1" applyFont="1" applyFill="1" applyBorder="1" applyAlignment="1">
      <alignment horizontal="center" vertical="top"/>
    </xf>
    <xf numFmtId="165" fontId="28" fillId="0" borderId="74" xfId="1" applyNumberFormat="1" applyFont="1" applyFill="1" applyBorder="1" applyAlignment="1">
      <alignment vertical="top"/>
    </xf>
    <xf numFmtId="165" fontId="28" fillId="0" borderId="79" xfId="1" applyNumberFormat="1" applyFont="1" applyFill="1" applyBorder="1" applyAlignment="1">
      <alignment vertical="top"/>
    </xf>
    <xf numFmtId="165" fontId="28" fillId="0" borderId="15" xfId="1" applyNumberFormat="1" applyFont="1" applyFill="1" applyBorder="1" applyAlignment="1">
      <alignment vertical="top"/>
    </xf>
    <xf numFmtId="165" fontId="28" fillId="0" borderId="16" xfId="1" applyNumberFormat="1" applyFont="1" applyFill="1" applyBorder="1" applyAlignment="1">
      <alignment vertical="top"/>
    </xf>
    <xf numFmtId="165" fontId="0" fillId="0" borderId="15" xfId="1" applyNumberFormat="1" applyFont="1" applyFill="1" applyBorder="1" applyAlignment="1">
      <alignment vertical="top"/>
    </xf>
    <xf numFmtId="165" fontId="0" fillId="0" borderId="16" xfId="1" applyNumberFormat="1" applyFont="1" applyFill="1" applyBorder="1" applyAlignment="1">
      <alignment vertical="top"/>
    </xf>
    <xf numFmtId="165" fontId="28" fillId="0" borderId="26" xfId="1" applyNumberFormat="1" applyFont="1" applyFill="1" applyBorder="1" applyAlignment="1">
      <alignment vertical="top"/>
    </xf>
    <xf numFmtId="165" fontId="28" fillId="0" borderId="25" xfId="1" applyNumberFormat="1" applyFont="1" applyFill="1" applyBorder="1" applyAlignment="1">
      <alignment vertical="top"/>
    </xf>
    <xf numFmtId="165" fontId="28" fillId="0" borderId="3" xfId="1" applyNumberFormat="1" applyFont="1" applyFill="1" applyBorder="1" applyAlignment="1">
      <alignment vertical="top"/>
    </xf>
    <xf numFmtId="165" fontId="28" fillId="0" borderId="1" xfId="1" applyNumberFormat="1" applyFont="1" applyFill="1" applyBorder="1" applyAlignment="1">
      <alignment vertical="top"/>
    </xf>
    <xf numFmtId="165" fontId="3" fillId="0" borderId="16" xfId="1" applyNumberFormat="1" applyFont="1" applyFill="1" applyBorder="1" applyAlignment="1">
      <alignment horizontal="left" vertical="top" indent="3"/>
    </xf>
    <xf numFmtId="165" fontId="0" fillId="0" borderId="15" xfId="0" applyNumberFormat="1" applyBorder="1"/>
    <xf numFmtId="165" fontId="28" fillId="0" borderId="0" xfId="1" applyNumberFormat="1" applyFont="1" applyFill="1" applyBorder="1" applyAlignment="1">
      <alignment vertical="top"/>
    </xf>
    <xf numFmtId="165" fontId="28" fillId="0" borderId="33" xfId="1" applyNumberFormat="1" applyFont="1" applyFill="1" applyBorder="1" applyAlignment="1">
      <alignment vertical="top"/>
    </xf>
    <xf numFmtId="165" fontId="28" fillId="0" borderId="34" xfId="1" applyNumberFormat="1" applyFont="1" applyFill="1" applyBorder="1" applyAlignment="1">
      <alignment vertical="top"/>
    </xf>
    <xf numFmtId="165" fontId="1" fillId="0" borderId="53" xfId="1" applyNumberFormat="1" applyFont="1" applyFill="1" applyBorder="1" applyAlignment="1">
      <alignment vertical="top"/>
    </xf>
    <xf numFmtId="0" fontId="42" fillId="0" borderId="0" xfId="0" applyFont="1" applyAlignment="1">
      <alignment vertical="top" wrapText="1" readingOrder="1"/>
    </xf>
    <xf numFmtId="164" fontId="6" fillId="0" borderId="37" xfId="1" applyFont="1" applyFill="1" applyBorder="1" applyAlignment="1">
      <alignment vertical="top"/>
    </xf>
    <xf numFmtId="0" fontId="6" fillId="0" borderId="42" xfId="1" applyNumberFormat="1" applyFont="1" applyFill="1" applyBorder="1" applyAlignment="1">
      <alignment vertical="top"/>
    </xf>
    <xf numFmtId="165" fontId="1" fillId="0" borderId="80" xfId="1" applyNumberFormat="1" applyFont="1" applyFill="1" applyBorder="1" applyAlignment="1">
      <alignment horizontal="right" vertical="top"/>
    </xf>
    <xf numFmtId="0" fontId="44" fillId="0" borderId="38" xfId="61" applyFont="1" applyBorder="1" applyAlignment="1">
      <alignment horizontal="center" vertical="top" wrapText="1" readingOrder="1"/>
    </xf>
    <xf numFmtId="0" fontId="40" fillId="35" borderId="0" xfId="65" applyFill="1"/>
    <xf numFmtId="0" fontId="0" fillId="35" borderId="0" xfId="0" applyFill="1"/>
    <xf numFmtId="3" fontId="40" fillId="35" borderId="0" xfId="65" applyNumberFormat="1" applyFill="1"/>
    <xf numFmtId="0" fontId="37" fillId="0" borderId="0" xfId="61" applyFont="1" applyAlignment="1">
      <alignment vertical="top" wrapText="1" readingOrder="1"/>
    </xf>
    <xf numFmtId="0" fontId="37" fillId="0" borderId="57" xfId="61" applyFont="1" applyBorder="1" applyAlignment="1">
      <alignment vertical="top" wrapText="1" readingOrder="1"/>
    </xf>
    <xf numFmtId="0" fontId="37" fillId="0" borderId="0" xfId="61" applyFont="1" applyAlignment="1">
      <alignment horizontal="left" vertical="top" wrapText="1" readingOrder="1"/>
    </xf>
    <xf numFmtId="0" fontId="37" fillId="0" borderId="0" xfId="61" applyFont="1" applyAlignment="1">
      <alignment horizontal="right" vertical="top" wrapText="1" readingOrder="1"/>
    </xf>
    <xf numFmtId="0" fontId="37" fillId="0" borderId="58" xfId="61" applyFont="1" applyBorder="1" applyAlignment="1">
      <alignment vertical="top" wrapText="1" readingOrder="1"/>
    </xf>
    <xf numFmtId="0" fontId="37" fillId="0" borderId="39" xfId="61" applyFont="1" applyBorder="1" applyAlignment="1">
      <alignment vertical="top" wrapText="1" readingOrder="1"/>
    </xf>
    <xf numFmtId="0" fontId="37" fillId="0" borderId="39" xfId="61" applyFont="1" applyBorder="1" applyAlignment="1">
      <alignment horizontal="left" vertical="top" wrapText="1" readingOrder="1"/>
    </xf>
    <xf numFmtId="0" fontId="37" fillId="0" borderId="39" xfId="61" applyFont="1" applyBorder="1" applyAlignment="1">
      <alignment horizontal="right" vertical="top" wrapText="1" readingOrder="1"/>
    </xf>
    <xf numFmtId="0" fontId="37" fillId="0" borderId="40" xfId="61" applyFont="1" applyBorder="1" applyAlignment="1">
      <alignment horizontal="right" vertical="top" wrapText="1" readingOrder="1"/>
    </xf>
    <xf numFmtId="173" fontId="37" fillId="0" borderId="0" xfId="61" applyNumberFormat="1" applyFont="1" applyAlignment="1">
      <alignment vertical="top" wrapText="1" readingOrder="1"/>
    </xf>
    <xf numFmtId="170" fontId="37" fillId="0" borderId="0" xfId="61" applyNumberFormat="1" applyFont="1" applyAlignment="1">
      <alignment vertical="top" wrapText="1" readingOrder="1"/>
    </xf>
    <xf numFmtId="170" fontId="37" fillId="0" borderId="0" xfId="61" applyNumberFormat="1" applyFont="1" applyAlignment="1">
      <alignment horizontal="right" vertical="top" wrapText="1" readingOrder="1"/>
    </xf>
    <xf numFmtId="175" fontId="37" fillId="0" borderId="41" xfId="61" applyNumberFormat="1" applyFont="1" applyBorder="1" applyAlignment="1">
      <alignment horizontal="right" vertical="top" wrapText="1" readingOrder="1"/>
    </xf>
    <xf numFmtId="170" fontId="37" fillId="0" borderId="39" xfId="61" applyNumberFormat="1" applyFont="1" applyBorder="1" applyAlignment="1">
      <alignment horizontal="right" vertical="top" wrapText="1" readingOrder="1"/>
    </xf>
    <xf numFmtId="175" fontId="37" fillId="0" borderId="40" xfId="61" applyNumberFormat="1" applyFont="1" applyBorder="1" applyAlignment="1">
      <alignment vertical="top" wrapText="1" readingOrder="1"/>
    </xf>
    <xf numFmtId="164" fontId="6" fillId="0" borderId="21" xfId="64" applyFont="1" applyFill="1" applyBorder="1" applyAlignment="1">
      <alignment horizontal="center" vertical="top" wrapText="1"/>
    </xf>
    <xf numFmtId="164" fontId="6" fillId="0" borderId="22" xfId="64" applyFont="1" applyFill="1" applyBorder="1" applyAlignment="1">
      <alignment horizontal="center" vertical="top" wrapText="1"/>
    </xf>
    <xf numFmtId="164" fontId="1" fillId="0" borderId="17" xfId="64" applyFont="1" applyFill="1" applyBorder="1" applyAlignment="1">
      <alignment wrapText="1"/>
    </xf>
    <xf numFmtId="164" fontId="1" fillId="0" borderId="18" xfId="64" applyFont="1" applyFill="1" applyBorder="1" applyAlignment="1">
      <alignment wrapText="1"/>
    </xf>
    <xf numFmtId="164" fontId="1" fillId="0" borderId="17" xfId="64" applyFont="1" applyFill="1" applyBorder="1" applyAlignment="1">
      <alignment horizontal="center" vertical="top" wrapText="1"/>
    </xf>
    <xf numFmtId="164" fontId="1" fillId="0" borderId="18" xfId="64" applyFont="1" applyFill="1" applyBorder="1" applyAlignment="1">
      <alignment horizontal="center" vertical="top" wrapText="1"/>
    </xf>
    <xf numFmtId="164" fontId="6" fillId="0" borderId="17" xfId="64" applyFont="1" applyFill="1" applyBorder="1" applyAlignment="1">
      <alignment horizontal="center" vertical="top" wrapText="1"/>
    </xf>
    <xf numFmtId="164" fontId="6" fillId="0" borderId="18" xfId="64" applyFont="1" applyFill="1" applyBorder="1" applyAlignment="1">
      <alignment horizontal="center" vertical="top" wrapText="1"/>
    </xf>
    <xf numFmtId="164" fontId="1" fillId="0" borderId="21" xfId="64" applyFont="1" applyFill="1" applyBorder="1" applyAlignment="1">
      <alignment horizontal="left" vertical="top" wrapText="1"/>
    </xf>
    <xf numFmtId="164" fontId="1" fillId="0" borderId="22" xfId="64" applyFont="1" applyFill="1" applyBorder="1" applyAlignment="1">
      <alignment horizontal="left" vertical="top" wrapText="1"/>
    </xf>
    <xf numFmtId="0" fontId="44" fillId="0" borderId="0" xfId="61" applyFont="1" applyAlignment="1">
      <alignment vertical="top" wrapText="1" readingOrder="1"/>
    </xf>
    <xf numFmtId="0" fontId="43" fillId="0" borderId="0" xfId="61" applyFont="1"/>
    <xf numFmtId="0" fontId="37" fillId="0" borderId="0" xfId="61" applyFont="1" applyAlignment="1">
      <alignment vertical="top" wrapText="1" readingOrder="1"/>
    </xf>
    <xf numFmtId="0" fontId="44" fillId="0" borderId="38" xfId="61" applyFont="1" applyBorder="1" applyAlignment="1">
      <alignment horizontal="center" vertical="top" wrapText="1" readingOrder="1"/>
    </xf>
    <xf numFmtId="0" fontId="43" fillId="0" borderId="39" xfId="61" applyFont="1" applyBorder="1" applyAlignment="1">
      <alignment vertical="top" wrapText="1"/>
    </xf>
    <xf numFmtId="0" fontId="43" fillId="0" borderId="40" xfId="61" applyFont="1" applyBorder="1" applyAlignment="1">
      <alignment vertical="top" wrapText="1"/>
    </xf>
    <xf numFmtId="164" fontId="1" fillId="0" borderId="43" xfId="1" applyFont="1" applyFill="1" applyBorder="1" applyAlignment="1">
      <alignment horizontal="left" vertical="top" wrapText="1"/>
    </xf>
    <xf numFmtId="164" fontId="27" fillId="0" borderId="61" xfId="1" applyFont="1" applyFill="1" applyBorder="1" applyAlignment="1">
      <alignment horizontal="left" vertical="top" wrapText="1"/>
    </xf>
    <xf numFmtId="164" fontId="27" fillId="0" borderId="43" xfId="1" applyFont="1" applyFill="1" applyBorder="1" applyAlignment="1">
      <alignment horizontal="center" vertical="top" wrapText="1"/>
    </xf>
    <xf numFmtId="164" fontId="27" fillId="0" borderId="61" xfId="1" applyFont="1" applyFill="1" applyBorder="1" applyAlignment="1">
      <alignment horizontal="center" vertical="top" wrapText="1"/>
    </xf>
    <xf numFmtId="164" fontId="1" fillId="0" borderId="43" xfId="1" applyFont="1" applyFill="1" applyBorder="1" applyAlignment="1">
      <alignment horizontal="center" vertical="top" wrapText="1"/>
    </xf>
    <xf numFmtId="164" fontId="27" fillId="0" borderId="54" xfId="1" applyFont="1" applyFill="1" applyBorder="1" applyAlignment="1">
      <alignment horizontal="center" vertical="top" wrapText="1"/>
    </xf>
    <xf numFmtId="164" fontId="6" fillId="0" borderId="44" xfId="1" applyFont="1" applyFill="1" applyBorder="1" applyAlignment="1">
      <alignment horizontal="center" vertical="top" wrapText="1"/>
    </xf>
    <xf numFmtId="164" fontId="6" fillId="0" borderId="71" xfId="1" applyFont="1" applyFill="1" applyBorder="1" applyAlignment="1">
      <alignment horizontal="center" vertical="top" wrapText="1"/>
    </xf>
    <xf numFmtId="164" fontId="1" fillId="0" borderId="72" xfId="1" applyFont="1" applyFill="1" applyBorder="1" applyAlignment="1">
      <alignment horizontal="center" vertical="top" wrapText="1"/>
    </xf>
    <xf numFmtId="164" fontId="1" fillId="0" borderId="70" xfId="1" applyFont="1" applyFill="1" applyBorder="1" applyAlignment="1">
      <alignment horizontal="center" vertical="top" wrapText="1"/>
    </xf>
    <xf numFmtId="164" fontId="6" fillId="0" borderId="73" xfId="1" applyFont="1" applyFill="1" applyBorder="1" applyAlignment="1">
      <alignment horizontal="center" vertical="top" wrapText="1"/>
    </xf>
    <xf numFmtId="164" fontId="6" fillId="0" borderId="70" xfId="1" applyFont="1" applyFill="1" applyBorder="1" applyAlignment="1">
      <alignment horizontal="center" vertical="top" wrapText="1"/>
    </xf>
  </cellXfs>
  <cellStyles count="69">
    <cellStyle name="20 % - Farve1" xfId="22" builtinId="30" customBuiltin="1"/>
    <cellStyle name="20 % - Farve1 2" xfId="49" xr:uid="{00000000-0005-0000-0000-000036000000}"/>
    <cellStyle name="20 % - Farve2" xfId="26" builtinId="34" customBuiltin="1"/>
    <cellStyle name="20 % - Farve2 2" xfId="51" xr:uid="{00000000-0005-0000-0000-000037000000}"/>
    <cellStyle name="20 % - Farve3" xfId="30" builtinId="38" customBuiltin="1"/>
    <cellStyle name="20 % - Farve3 2" xfId="53" xr:uid="{00000000-0005-0000-0000-000038000000}"/>
    <cellStyle name="20 % - Farve4" xfId="34" builtinId="42" customBuiltin="1"/>
    <cellStyle name="20 % - Farve4 2" xfId="55" xr:uid="{00000000-0005-0000-0000-000039000000}"/>
    <cellStyle name="20 % - Farve5" xfId="38" builtinId="46" customBuiltin="1"/>
    <cellStyle name="20 % - Farve5 2" xfId="57" xr:uid="{00000000-0005-0000-0000-00003A000000}"/>
    <cellStyle name="20 % - Farve6" xfId="42" builtinId="50" customBuiltin="1"/>
    <cellStyle name="20 % - Farve6 2" xfId="59" xr:uid="{00000000-0005-0000-0000-00003B000000}"/>
    <cellStyle name="40 % - Farve1" xfId="23" builtinId="31" customBuiltin="1"/>
    <cellStyle name="40 % - Farve1 2" xfId="50" xr:uid="{00000000-0005-0000-0000-00003C000000}"/>
    <cellStyle name="40 % - Farve2" xfId="27" builtinId="35" customBuiltin="1"/>
    <cellStyle name="40 % - Farve2 2" xfId="52" xr:uid="{00000000-0005-0000-0000-00003D000000}"/>
    <cellStyle name="40 % - Farve3" xfId="31" builtinId="39" customBuiltin="1"/>
    <cellStyle name="40 % - Farve3 2" xfId="54" xr:uid="{00000000-0005-0000-0000-00003E000000}"/>
    <cellStyle name="40 % - Farve4" xfId="35" builtinId="43" customBuiltin="1"/>
    <cellStyle name="40 % - Farve4 2" xfId="56" xr:uid="{00000000-0005-0000-0000-00003F000000}"/>
    <cellStyle name="40 % - Farve5" xfId="39" builtinId="47" customBuiltin="1"/>
    <cellStyle name="40 % - Farve5 2" xfId="58" xr:uid="{00000000-0005-0000-0000-000040000000}"/>
    <cellStyle name="40 % - Farve6" xfId="43" builtinId="51" customBuiltin="1"/>
    <cellStyle name="40 % - Farve6 2" xfId="60" xr:uid="{00000000-0005-0000-0000-000041000000}"/>
    <cellStyle name="60 % - Farve1" xfId="24" builtinId="32" customBuiltin="1"/>
    <cellStyle name="60 % - Farve2" xfId="28" builtinId="36" customBuiltin="1"/>
    <cellStyle name="60 % - Farve3" xfId="32" builtinId="40" customBuiltin="1"/>
    <cellStyle name="60 % - Farve4" xfId="36" builtinId="44" customBuiltin="1"/>
    <cellStyle name="60 % - Farve5" xfId="40" builtinId="48" customBuiltin="1"/>
    <cellStyle name="60 % - Farve6" xfId="44" builtinId="52" customBuiltin="1"/>
    <cellStyle name="Advarselstekst" xfId="17" builtinId="11" customBuiltin="1"/>
    <cellStyle name="Bemærk!" xfId="18" builtinId="10" customBuiltin="1"/>
    <cellStyle name="Bemærk! 2" xfId="48" xr:uid="{00000000-0005-0000-0000-000042000000}"/>
    <cellStyle name="Beregning" xfId="14" builtinId="22" customBuiltin="1"/>
    <cellStyle name="Farve1" xfId="21" builtinId="29" customBuiltin="1"/>
    <cellStyle name="Farve2" xfId="25" builtinId="33" customBuiltin="1"/>
    <cellStyle name="Farve3" xfId="29" builtinId="37" customBuiltin="1"/>
    <cellStyle name="Farve4" xfId="33" builtinId="41" customBuiltin="1"/>
    <cellStyle name="Farve5" xfId="37" builtinId="45" customBuiltin="1"/>
    <cellStyle name="Farve6" xfId="41" builtinId="49" customBuiltin="1"/>
    <cellStyle name="Forklarende tekst" xfId="19" builtinId="53" customBuiltin="1"/>
    <cellStyle name="God" xfId="9" builtinId="26" customBuiltin="1"/>
    <cellStyle name="Input" xfId="12" builtinId="20" customBuiltin="1"/>
    <cellStyle name="Komma" xfId="1" builtinId="3"/>
    <cellStyle name="Komma 2" xfId="64" xr:uid="{1FDA5418-B14F-4923-9BC4-880FC2F2D975}"/>
    <cellStyle name="Komma 3" xfId="66" xr:uid="{F2CED34D-B581-4DA3-902B-F54848217729}"/>
    <cellStyle name="Kontrollér celle" xfId="16" builtinId="23" customBuiltin="1"/>
    <cellStyle name="Neutral" xfId="11" builtinId="28" customBuiltin="1"/>
    <cellStyle name="Normal" xfId="0" builtinId="0"/>
    <cellStyle name="Normal 2" xfId="2" xr:uid="{00000000-0005-0000-0000-000023000000}"/>
    <cellStyle name="Normal 3" xfId="3" xr:uid="{00000000-0005-0000-0000-000024000000}"/>
    <cellStyle name="Normal 3 2" xfId="45" xr:uid="{00000000-0005-0000-0000-000025000000}"/>
    <cellStyle name="Normal 4" xfId="46" xr:uid="{00000000-0005-0000-0000-000026000000}"/>
    <cellStyle name="Normal 5" xfId="47" xr:uid="{00000000-0005-0000-0000-000027000000}"/>
    <cellStyle name="Normal 6" xfId="61" xr:uid="{05291305-6670-4350-AB04-42E56C33D8AD}"/>
    <cellStyle name="Normal 7" xfId="65" xr:uid="{12B49A5C-8D44-493C-9FC8-8A9CEEEE005F}"/>
    <cellStyle name="Output" xfId="13" builtinId="21" customBuiltin="1"/>
    <cellStyle name="Overskrift 1" xfId="5" builtinId="16" customBuiltin="1"/>
    <cellStyle name="Overskrift 2" xfId="6" builtinId="17" customBuiltin="1"/>
    <cellStyle name="Overskrift 3" xfId="7" builtinId="18" customBuiltin="1"/>
    <cellStyle name="Overskrift 4" xfId="8" builtinId="19" customBuiltin="1"/>
    <cellStyle name="Procent" xfId="63" builtinId="5"/>
    <cellStyle name="Procent 2" xfId="67" xr:uid="{C5C7C172-F6F2-4286-8077-CC06704F4DA1}"/>
    <cellStyle name="Sammenkædet celle" xfId="15" builtinId="24" customBuiltin="1"/>
    <cellStyle name="SAPDataCell" xfId="62" xr:uid="{1D27F6C0-557C-4698-B0B3-9D9A97B225AF}"/>
    <cellStyle name="Titel" xfId="4" builtinId="15" customBuiltin="1"/>
    <cellStyle name="Total" xfId="20" builtinId="25" customBuiltin="1"/>
    <cellStyle name="Ugyldig" xfId="10" builtinId="27" customBuiltin="1"/>
    <cellStyle name="Valuta 2" xfId="68" xr:uid="{BB5CEB7B-6D1E-4684-8FEE-D91833158CEB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ie Merrald" refreshedDate="45958.481242245369" createdVersion="8" refreshedVersion="8" minRefreshableVersion="3" recordCount="110" xr:uid="{32CEEEDF-B13E-4AA6-8D4B-4F6B908B2B42}">
  <cacheSource type="worksheet">
    <worksheetSource ref="A4:K114" sheet="Øko% Alle køkkener"/>
  </cacheSource>
  <cacheFields count="13">
    <cacheField name="Institutionsnavn" numFmtId="164">
      <sharedItems count="135">
        <s v="Anais Kulturcafé, Farum Kulturhus"/>
        <s v="Broen, specialtilbud 0. -9- kl."/>
        <s v="Børnehuset Atlantis (Tidl. Børnehusene, Ryttergårdsvej)"/>
        <s v="Børnehuset Birkedal"/>
        <s v="Børnehuset Birkhøj"/>
        <s v="Børnehuset Birkhøj - møder"/>
        <s v="Børnehuset Bøgely"/>
        <s v="Børnehuset Egetræet"/>
        <s v="Børnehuset Kirke Værløse"/>
        <s v="Børnehuset Lyngholm nr. 15 (vuggest.)"/>
        <s v="Børnehuset Lyngholm nr. 17 (børneh.)"/>
        <s v="Børnehuset Mimers Brønd"/>
        <s v="Børnehuset Nørreskoven"/>
        <s v="Børnehuset Siv"/>
        <s v="Børnehuset Skovbakken"/>
        <s v="Børnehuset Solbjerg"/>
        <s v="Børnehuset Søndersø"/>
        <s v="Børnehuset Vingesus"/>
        <s v="Cassiopeia, Galaksen. Opgøres af Cassiopeia"/>
        <s v="Dagplejen, kaffe (mad fra Mimers Brønd)"/>
        <s v="Dalgårdens Børnehus"/>
        <s v="Dalgårdens Børnehus, møde"/>
        <s v="Driftsgården"/>
        <s v="Egeskolen, kantine"/>
        <s v="Egeskolen, skolens fælles køb "/>
        <s v="Espebo Børnecenter"/>
        <s v="Fars Køkkenskole"/>
        <s v="Farum Nordby Børnehus"/>
        <s v="Farum Vejgaard, BH/VS"/>
        <s v="Farumsødal"/>
        <s v="Fiskebæk Naturskole"/>
        <s v="Fritidshjemmenes Andelsforening á 1986"/>
        <s v="Furesø AdHd"/>
        <s v="Furesø Bibliotek, frugt- og kaffeordning"/>
        <s v="Furesø Museer"/>
        <s v="Furesø Musikskole"/>
        <s v="Furesø Skole- og Familiehus (inkl. Rådgivning, vejledn. og støtte)"/>
        <s v="Furesø Ungdomsskole"/>
        <s v="Furesøgård, fritidsklub"/>
        <s v="Genoptræningscenteret"/>
        <s v="Græshoppen, madpakker"/>
        <s v="Hareskov Børnehus"/>
        <s v="Hareskov Børnehus, personale"/>
        <s v="Hareskov FFO - Gasværket, klub"/>
        <s v="Hareskov FFO Kaffe"/>
        <s v="Hareskov FFO, Læsehuset  "/>
        <s v="Hareskov skole - lærerforplejning"/>
        <s v="Hareskov skole, madkundskab"/>
        <s v="Hareskov Skole, natur"/>
        <s v="Hjemmeplejen+Hjemme-og Sygeplejen"/>
        <s v="Humlehaven, specialbørnehave"/>
        <s v="Kommunal Tandpleje/Tandklinikken Søndersøskolen, Nygårdsterrasserne, Kirke Værløse"/>
        <s v="Krudthuset"/>
        <s v="Lille Værløse Skole, adm. (kaffe)"/>
        <s v="Lille Værløse Skole, Autisme afdelingen"/>
        <s v="Lille Værløse Skole, kantinen"/>
        <s v="Lille Værløse Skole, Madkundskab"/>
        <s v="Lille Værløse Skoles FFO 1 (Miniklub)"/>
        <s v="Lille Værløse Skoles FFO 2 (Toppen)"/>
        <s v="Lille Værløse Skoles FFO 3 (Klub24 )"/>
        <s v="Lillestjernen FFO"/>
        <s v="Lillestjernen FFO, møder"/>
        <s v="Lillevang - Blommehaven"/>
        <s v="Lillevang - Kornelhaven "/>
        <s v="Lillevang - Køkken"/>
        <s v="Lillevang - Magnoliehaven"/>
        <s v="Lillevang - Syrenhaven"/>
        <s v="Lillevang - Rosenhaven"/>
        <s v="Lyngholm FFO"/>
        <s v="Lyngholmskolen, kantinen"/>
        <s v="Lyngholmskolen, lærerforplejning + Gruppeordning(tidl. Furesøskolen)"/>
        <s v="Lyngholmskolen, madkundskab"/>
        <s v="Lynghuset"/>
        <s v="Madhus, Det danske - ekstern opgørelse uden kg, kun øko% oplyses"/>
        <s v="Nordvænget Vuggestue"/>
        <s v="Paletten (Valhalla)"/>
        <s v="Plejecenteret Solbjerghaven"/>
        <s v="Ryet Børnehus"/>
        <s v="Ryetbo"/>
        <s v="Røde Sol (Madpakker og forældrefrugt)"/>
        <s v="Rådhuset Furesø Kommune + frugtordning"/>
        <s v="Skiftesporet/Social Psykiatrien"/>
        <s v="Skolelandbruget"/>
        <s v="Skovgården"/>
        <s v="Solhøjgård, Fritidshjem, selvejende"/>
        <s v="Solstrålen"/>
        <s v="Solvang FFO, Solvognen"/>
        <s v="Solvangskolen, madkundskab"/>
        <s v="Solvangskolen, skolens fælleskøb"/>
        <s v="Sprogcenter Furesø"/>
        <s v="Stavnsholt Børnehus, integr."/>
        <s v="Stavnsholt FFO (Raketten+Turbodragen) "/>
        <s v="Stavnsholtskolen, kantinen. "/>
        <s v="Stavnsholtskolen, madkundskab og møder"/>
        <s v="Sundhedsplejen, Farum"/>
        <s v="Svanepunktet Plejecenter, Svane"/>
        <s v="Svanepunktet, Bofællesskabet"/>
        <s v="Svanepunktet, Rehab"/>
        <s v="Syvstjerneklubben &amp; kantine"/>
        <s v="Syvstjerneklubben, møder "/>
        <s v="Syvstjerneskolen, madkundskab "/>
        <s v="Syvstjerneskolen, møder og kontor"/>
        <s v="Syvstjernevænge, Bofællesskabet"/>
        <s v="Søndersø FFO 1"/>
        <s v="Søndersø FFO 2, Solbjerggaard"/>
        <s v="Søndersø, Botræningstilbud "/>
        <s v="Søndersøskolen - kontor"/>
        <s v="Søndersøskolen - madkundskab"/>
        <s v="Værløse Svømmehal"/>
        <s v="Åkanden"/>
        <s v="Stavnsholtskolen, kantinen. Har skolehaver" u="1"/>
        <s v="Børnehuset Hjertet" u="1"/>
        <s v="Farum Svømmehal" u="1"/>
        <s v="Stavnsholt Børnehus, integr. (tidl. Majtræet VS, Guldsmeden BH) " u="1"/>
        <s v="Børnehuset Egetræet (tidl. Skovstjernen)" u="1"/>
        <s v="Farum Nordby Børnehus, (tidl. Børnehuset Solsikken)" u="1"/>
        <s v="Lyngholmskolen, kantinen - Midlertidigt lukket e22" u="1"/>
        <s v="Solstrålen, tidl. Kildehuset, forældre/personale " u="1"/>
        <s v="Solstrålen, tidl. Kildehuset" u="1"/>
        <s v="Børnehuset Egetræet, Kollekolle frugt m.v" u="1"/>
        <s v="Børnehuset Egetræet, Skovstj." u="1"/>
        <s v="Farum Svømmehal, Anais Idrætscafé" u="1"/>
        <s v="Grøn Fællesspisning" u="1"/>
        <s v="Lille Værløse Skole, kantinen (Salling 223)" u="1"/>
        <s v="Stavnsholtskolen, madkundskab og møder (Sall. 0237)" u="1"/>
        <s v="Søndersøskolen - kontor (Sall. 2237)" u="1"/>
        <s v="Søndersøskolen - madkundskab (Sall 1720)" u="1"/>
        <s v="Søndersø, Botræningstilbud (Sall. 1680)" u="1"/>
        <s v="Lyngholmskolen, kantinen (Sall. 225) Midlertidigt lukket e22" u="1"/>
        <s v="Hareskov FFO (Sall. 1825) Kaffe" u="1"/>
        <s v="Lyngholm FFO, Afd. Lærkehuset og Bakkehuset " u="1"/>
        <s v="Stavnsholt FFO (Raketten+Turbodragen) (Sall. 0236+1949)" u="1"/>
        <s v="Solstrålen, tidl. Kildehuset, inkl. frugtordning" u="1"/>
        <s v="Lyngholm FFO, Afd. Regnbuen, fritids/ungdomsklub" u="1"/>
        <s v="Lillestjernen FFO, møder (Sall. 2251)" u="1"/>
      </sharedItems>
    </cacheField>
    <cacheField name="Hørkram kundenummer" numFmtId="0">
      <sharedItems containsBlank="1" containsMixedTypes="1" containsNumber="1" containsInteger="1" minValue="200011554" maxValue="200809045"/>
    </cacheField>
    <cacheField name="Nemlig kundenummer 1" numFmtId="0">
      <sharedItems containsString="0" containsBlank="1" containsNumber="1" containsInteger="1" minValue="1004359" maxValue="2407997"/>
    </cacheField>
    <cacheField name="Nemlig kundenummer 2" numFmtId="0">
      <sharedItems containsString="0" containsBlank="1" containsNumber="1" containsInteger="1" minValue="1088515" maxValue="2296585"/>
    </cacheField>
    <cacheField name="Nemlig kundenummer 3" numFmtId="0">
      <sharedItems containsString="0" containsBlank="1" containsNumber="1" containsInteger="1" minValue="2154841" maxValue="2231699"/>
    </cacheField>
    <cacheField name="Nemlig kundenummer 4" numFmtId="0">
      <sharedItems containsString="0" containsBlank="1" containsNumber="1" containsInteger="1" minValue="1380376" maxValue="2329044"/>
    </cacheField>
    <cacheField name="Registreret hos FVST" numFmtId="0">
      <sharedItems containsBlank="1"/>
    </cacheField>
    <cacheField name="Institutionstype" numFmtId="0">
      <sharedItems count="8">
        <s v="Social+Kultur"/>
        <s v="Børneinstitution"/>
        <s v="Møder m.v."/>
        <s v="Skolekantiner"/>
        <s v="FFO+Klub"/>
        <s v="Madkundskab"/>
        <s v="Ældre"/>
        <s v="Rådhus"/>
      </sharedItems>
    </cacheField>
    <cacheField name="Økologi %" numFmtId="165">
      <sharedItems containsMixedTypes="1" containsNumber="1" minValue="0" maxValue="100"/>
    </cacheField>
    <cacheField name="Øko kg" numFmtId="165">
      <sharedItems containsSemiMixedTypes="0" containsString="0" containsNumber="1" minValue="0" maxValue="7020.6200000000008"/>
    </cacheField>
    <cacheField name="Omfattet kg" numFmtId="165">
      <sharedItems containsSemiMixedTypes="0" containsString="0" containsNumber="1" minValue="0" maxValue="18248.969000000001"/>
    </cacheField>
    <cacheField name="Økologiprocent" numFmtId="0" formula="#NAME?/#NAME?" databaseField="0"/>
    <cacheField name="Øko%" numFmtId="0" formula="'Øko kg'/'Omfattet kg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0">
  <r>
    <x v="0"/>
    <m/>
    <m/>
    <m/>
    <m/>
    <m/>
    <s v="Registreret hos FVST"/>
    <x v="0"/>
    <n v="61.715218483174283"/>
    <n v="491.5"/>
    <n v="796.4"/>
  </r>
  <r>
    <x v="1"/>
    <m/>
    <m/>
    <m/>
    <m/>
    <m/>
    <s v="Ikke registreret hos FVST"/>
    <x v="0"/>
    <e v="#DIV/0!"/>
    <n v="0"/>
    <n v="0"/>
  </r>
  <r>
    <x v="2"/>
    <n v="200140070"/>
    <m/>
    <m/>
    <m/>
    <m/>
    <s v="Registreret hos FVST"/>
    <x v="1"/>
    <n v="88.599906877743777"/>
    <n v="1332.011"/>
    <n v="1503.4"/>
  </r>
  <r>
    <x v="3"/>
    <n v="200544489"/>
    <n v="1017028"/>
    <m/>
    <m/>
    <m/>
    <s v="Registreret hos FVST"/>
    <x v="1"/>
    <n v="71.761389059663657"/>
    <n v="986.32799999999997"/>
    <n v="1374.4549999999999"/>
  </r>
  <r>
    <x v="4"/>
    <n v="200012834"/>
    <m/>
    <m/>
    <m/>
    <m/>
    <s v="Registreret hos FVST"/>
    <x v="1"/>
    <n v="80.091023852235736"/>
    <n v="1084.905"/>
    <n v="1354.59"/>
  </r>
  <r>
    <x v="5"/>
    <n v="200194837"/>
    <n v="2232789"/>
    <m/>
    <m/>
    <m/>
    <s v="Ikke registreret hos FVST"/>
    <x v="2"/>
    <n v="8.2452830188679247"/>
    <n v="4.37"/>
    <n v="53"/>
  </r>
  <r>
    <x v="6"/>
    <n v="200809045"/>
    <m/>
    <m/>
    <m/>
    <m/>
    <s v="Registreret hos FVST"/>
    <x v="1"/>
    <n v="98.749894246104162"/>
    <n v="2346.0990000000002"/>
    <n v="2375.799"/>
  </r>
  <r>
    <x v="7"/>
    <n v="200544472"/>
    <m/>
    <m/>
    <m/>
    <m/>
    <s v="Registreret hos FVST"/>
    <x v="1"/>
    <n v="81.917128149314337"/>
    <n v="2083.3589999999999"/>
    <n v="2543.252"/>
  </r>
  <r>
    <x v="8"/>
    <n v="200011554"/>
    <m/>
    <m/>
    <m/>
    <m/>
    <s v="Registreret hos FVST"/>
    <x v="1"/>
    <n v="99.108830068210395"/>
    <n v="1361.0129999999999"/>
    <n v="1373.251"/>
  </r>
  <r>
    <x v="9"/>
    <n v="200050751"/>
    <m/>
    <m/>
    <m/>
    <m/>
    <s v="Registreret hos FVST"/>
    <x v="1"/>
    <n v="97.37542195404167"/>
    <n v="509.142"/>
    <n v="522.86500000000001"/>
  </r>
  <r>
    <x v="10"/>
    <n v="200040875"/>
    <m/>
    <m/>
    <m/>
    <m/>
    <s v="Registreret hos FVST"/>
    <x v="1"/>
    <n v="94.027098851455364"/>
    <n v="1443.221"/>
    <n v="1534.8990000000001"/>
  </r>
  <r>
    <x v="11"/>
    <n v="200141541"/>
    <n v="2163076"/>
    <m/>
    <m/>
    <m/>
    <s v="Registreret hos FVST"/>
    <x v="1"/>
    <n v="87.674739290945794"/>
    <n v="1225.201"/>
    <n v="1397.4390000000001"/>
  </r>
  <r>
    <x v="12"/>
    <n v="200514277"/>
    <n v="1017035"/>
    <m/>
    <m/>
    <m/>
    <s v="Registreret hos FVST"/>
    <x v="1"/>
    <n v="92.64906002309462"/>
    <n v="1132.9090000000001"/>
    <n v="1222.796"/>
  </r>
  <r>
    <x v="13"/>
    <m/>
    <n v="1198425"/>
    <m/>
    <m/>
    <m/>
    <s v="Registreret hos FVST"/>
    <x v="1"/>
    <n v="45.888582414402073"/>
    <n v="155.387"/>
    <n v="338.61799999999999"/>
  </r>
  <r>
    <x v="14"/>
    <n v="200135519"/>
    <m/>
    <m/>
    <m/>
    <m/>
    <s v="Registreret hos FVST"/>
    <x v="1"/>
    <n v="90.553684739760158"/>
    <n v="983.39400000000001"/>
    <n v="1085.979"/>
  </r>
  <r>
    <x v="15"/>
    <n v="200025919"/>
    <n v="1017038"/>
    <m/>
    <m/>
    <m/>
    <s v="Registreret hos FVST"/>
    <x v="1"/>
    <n v="99.813018994103089"/>
    <n v="1638.808"/>
    <n v="1641.8779999999999"/>
  </r>
  <r>
    <x v="16"/>
    <n v="200025926"/>
    <m/>
    <m/>
    <m/>
    <m/>
    <s v="Registreret hos FVST"/>
    <x v="1"/>
    <n v="86.078895447237585"/>
    <n v="2295.2860000000001"/>
    <n v="2666.491"/>
  </r>
  <r>
    <x v="17"/>
    <n v="200159577"/>
    <m/>
    <m/>
    <m/>
    <m/>
    <s v="Registreret hos FVST"/>
    <x v="1"/>
    <n v="97.648590526976946"/>
    <n v="2817.0720000000001"/>
    <n v="2884.9079999999999"/>
  </r>
  <r>
    <x v="18"/>
    <n v="200095578"/>
    <n v="2243447"/>
    <m/>
    <m/>
    <m/>
    <s v="Registreret hos FVST"/>
    <x v="0"/>
    <n v="88.186293070806514"/>
    <n v="93.16"/>
    <n v="105.64"/>
  </r>
  <r>
    <x v="19"/>
    <m/>
    <n v="2251396"/>
    <m/>
    <m/>
    <m/>
    <s v="Registreret hos FVST"/>
    <x v="2"/>
    <s v=" "/>
    <n v="0"/>
    <n v="0"/>
  </r>
  <r>
    <x v="20"/>
    <n v="200034485"/>
    <n v="1017649"/>
    <m/>
    <m/>
    <m/>
    <s v="Registreret hos FVST"/>
    <x v="1"/>
    <n v="99.399705107531418"/>
    <n v="1295.701"/>
    <n v="1303.5260000000001"/>
  </r>
  <r>
    <x v="21"/>
    <m/>
    <m/>
    <m/>
    <m/>
    <m/>
    <s v="Ikke registreret hos FVST"/>
    <x v="2"/>
    <n v="100"/>
    <n v="16"/>
    <n v="16"/>
  </r>
  <r>
    <x v="22"/>
    <m/>
    <n v="2251036"/>
    <m/>
    <m/>
    <m/>
    <s v="Ikke registreret hos FVST"/>
    <x v="2"/>
    <n v="0"/>
    <n v="0"/>
    <n v="50"/>
  </r>
  <r>
    <x v="23"/>
    <m/>
    <n v="1192523"/>
    <m/>
    <m/>
    <m/>
    <s v="Registreret hos FVST"/>
    <x v="3"/>
    <n v="4.1172005981240654"/>
    <n v="7.2690000000000001"/>
    <n v="176.55199999999999"/>
  </r>
  <r>
    <x v="24"/>
    <m/>
    <n v="1149830"/>
    <m/>
    <m/>
    <m/>
    <s v="Ikke registreret hos FVST"/>
    <x v="2"/>
    <n v="2.9650422352176737"/>
    <n v="11.407999999999999"/>
    <n v="384.75"/>
  </r>
  <r>
    <x v="25"/>
    <n v="200140049"/>
    <n v="2162723"/>
    <m/>
    <m/>
    <m/>
    <s v="Registreret hos FVST"/>
    <x v="1"/>
    <n v="75.507845085067899"/>
    <n v="455.30400000000003"/>
    <n v="602.98899999999992"/>
  </r>
  <r>
    <x v="26"/>
    <n v="200185279"/>
    <m/>
    <m/>
    <m/>
    <m/>
    <s v="Ikke registreret hos FVST"/>
    <x v="0"/>
    <s v=" "/>
    <n v="0"/>
    <n v="0"/>
  </r>
  <r>
    <x v="27"/>
    <n v="200012841"/>
    <n v="2248847"/>
    <m/>
    <m/>
    <m/>
    <s v="Registreret hos FVST"/>
    <x v="1"/>
    <n v="81.336279554356437"/>
    <n v="1324.0309999999999"/>
    <n v="1627.848"/>
  </r>
  <r>
    <x v="28"/>
    <n v="200107653"/>
    <m/>
    <m/>
    <m/>
    <m/>
    <s v="Registreret hos FVST"/>
    <x v="1"/>
    <n v="87.4551588572875"/>
    <n v="663.35699999999997"/>
    <n v="758.51099999999997"/>
  </r>
  <r>
    <x v="29"/>
    <n v="200040189"/>
    <n v="2164133"/>
    <m/>
    <m/>
    <m/>
    <s v="Registreret hos FVST"/>
    <x v="1"/>
    <n v="90.859530545652362"/>
    <n v="1599.9799999999998"/>
    <n v="1760.9379999999999"/>
  </r>
  <r>
    <x v="30"/>
    <m/>
    <m/>
    <m/>
    <m/>
    <m/>
    <s v="Ikke registreret hos FVST"/>
    <x v="0"/>
    <s v=" "/>
    <n v="0"/>
    <n v="0"/>
  </r>
  <r>
    <x v="31"/>
    <m/>
    <n v="2200834"/>
    <m/>
    <m/>
    <m/>
    <s v="Ikke registreret hos FVST"/>
    <x v="4"/>
    <s v=" "/>
    <n v="0"/>
    <n v="0"/>
  </r>
  <r>
    <x v="32"/>
    <m/>
    <m/>
    <m/>
    <m/>
    <m/>
    <s v="Ikke registreret hos FVST"/>
    <x v="0"/>
    <s v=" "/>
    <n v="0"/>
    <n v="0"/>
  </r>
  <r>
    <x v="33"/>
    <m/>
    <n v="2308205"/>
    <m/>
    <m/>
    <m/>
    <s v="Ikke registreret hos FVST"/>
    <x v="0"/>
    <n v="81.818181818181813"/>
    <n v="9"/>
    <n v="11"/>
  </r>
  <r>
    <x v="34"/>
    <m/>
    <m/>
    <m/>
    <m/>
    <m/>
    <s v="Ikke registreret hos FVST"/>
    <x v="0"/>
    <s v=" "/>
    <n v="0"/>
    <n v="0"/>
  </r>
  <r>
    <x v="35"/>
    <m/>
    <n v="2347486"/>
    <m/>
    <m/>
    <m/>
    <s v="Ikke registreret hos FVST"/>
    <x v="0"/>
    <s v=" "/>
    <n v="0"/>
    <n v="0"/>
  </r>
  <r>
    <x v="36"/>
    <m/>
    <n v="1066946"/>
    <m/>
    <m/>
    <m/>
    <s v="Registreret hos FVST"/>
    <x v="0"/>
    <n v="77.900572578461833"/>
    <n v="192.786"/>
    <n v="247.477"/>
  </r>
  <r>
    <x v="37"/>
    <m/>
    <n v="2164274"/>
    <m/>
    <m/>
    <m/>
    <s v="Ikke registreret hos FVST"/>
    <x v="4"/>
    <n v="51.600405767072431"/>
    <n v="47.814999999999998"/>
    <n v="92.664000000000001"/>
  </r>
  <r>
    <x v="38"/>
    <m/>
    <n v="1091281"/>
    <m/>
    <m/>
    <m/>
    <s v="Ikke registreret hos FVST"/>
    <x v="4"/>
    <n v="12.705368044308555"/>
    <n v="136.423"/>
    <n v="1073.7429999999999"/>
  </r>
  <r>
    <x v="39"/>
    <n v="200225982"/>
    <m/>
    <m/>
    <m/>
    <m/>
    <s v="Ikke registreret hos FVST"/>
    <x v="2"/>
    <n v="100"/>
    <n v="138"/>
    <n v="138"/>
  </r>
  <r>
    <x v="40"/>
    <m/>
    <m/>
    <m/>
    <m/>
    <m/>
    <s v="Ikke registreret hos FVST"/>
    <x v="1"/>
    <s v=" "/>
    <n v="0"/>
    <n v="0"/>
  </r>
  <r>
    <x v="41"/>
    <n v="200512464"/>
    <m/>
    <m/>
    <m/>
    <m/>
    <s v="Registreret hos FVST"/>
    <x v="1"/>
    <n v="98.732599381635239"/>
    <n v="1558.0329999999999"/>
    <n v="1578.0329999999999"/>
  </r>
  <r>
    <x v="42"/>
    <m/>
    <n v="2407997"/>
    <m/>
    <m/>
    <m/>
    <s v="Ikke registreret hos FVST"/>
    <x v="2"/>
    <n v="27.956920926390701"/>
    <n v="8.8000000000000007"/>
    <n v="31.477"/>
  </r>
  <r>
    <x v="43"/>
    <s v="to numre; 200106717+200042992"/>
    <n v="1128479"/>
    <m/>
    <m/>
    <m/>
    <s v="Registreret hos FVST"/>
    <x v="4"/>
    <n v="39.764105309912196"/>
    <n v="1045.6559999999999"/>
    <n v="2629.6480000000001"/>
  </r>
  <r>
    <x v="44"/>
    <m/>
    <m/>
    <m/>
    <m/>
    <m/>
    <s v="Ikke registreret hos FVST"/>
    <x v="4"/>
    <n v="0"/>
    <n v="0"/>
    <n v="20"/>
  </r>
  <r>
    <x v="45"/>
    <m/>
    <m/>
    <m/>
    <m/>
    <m/>
    <s v="Ikke registreret hos FVST"/>
    <x v="4"/>
    <s v=" "/>
    <n v="0"/>
    <n v="0"/>
  </r>
  <r>
    <x v="46"/>
    <m/>
    <m/>
    <m/>
    <m/>
    <m/>
    <s v="Ikke registreret hos FVST"/>
    <x v="2"/>
    <n v="0"/>
    <n v="0"/>
    <n v="62.72"/>
  </r>
  <r>
    <x v="47"/>
    <m/>
    <n v="1111606"/>
    <n v="1145780"/>
    <m/>
    <m/>
    <s v="Ikke registreret hos FVST"/>
    <x v="5"/>
    <n v="20.933728901896323"/>
    <n v="93.987000000000009"/>
    <n v="448.97400000000005"/>
  </r>
  <r>
    <x v="48"/>
    <m/>
    <m/>
    <m/>
    <m/>
    <m/>
    <s v="Ikke registreret hos FVST"/>
    <x v="0"/>
    <s v=" "/>
    <n v="0"/>
    <n v="0"/>
  </r>
  <r>
    <x v="49"/>
    <m/>
    <n v="2296749"/>
    <n v="2296585"/>
    <m/>
    <m/>
    <s v="Ikke registreret hos FVST"/>
    <x v="2"/>
    <n v="14.714125560538116"/>
    <n v="21"/>
    <n v="142.72"/>
  </r>
  <r>
    <x v="50"/>
    <m/>
    <n v="1613945"/>
    <m/>
    <m/>
    <m/>
    <s v="Registreret hos FVST"/>
    <x v="1"/>
    <n v="73.27159508222897"/>
    <n v="87.191000000000003"/>
    <n v="118.997"/>
  </r>
  <r>
    <x v="51"/>
    <m/>
    <n v="2155984"/>
    <n v="1387175"/>
    <n v="2154841"/>
    <n v="2329044"/>
    <s v="Ikke registreret hos FVST"/>
    <x v="2"/>
    <n v="48.674642270701391"/>
    <n v="10.375"/>
    <n v="21.314999999999998"/>
  </r>
  <r>
    <x v="52"/>
    <n v="200049625"/>
    <m/>
    <m/>
    <m/>
    <m/>
    <s v="Registreret hos FVST"/>
    <x v="1"/>
    <n v="99.464310041986209"/>
    <n v="1774.126"/>
    <n v="1783.681"/>
  </r>
  <r>
    <x v="53"/>
    <m/>
    <n v="2312561"/>
    <m/>
    <m/>
    <m/>
    <s v="Ikke registreret hos FVST"/>
    <x v="2"/>
    <n v="33.512064343163537"/>
    <n v="30"/>
    <n v="89.52000000000001"/>
  </r>
  <r>
    <x v="54"/>
    <m/>
    <n v="2242256"/>
    <m/>
    <m/>
    <m/>
    <s v="Ikke registreret hos FVST"/>
    <x v="0"/>
    <s v=" "/>
    <n v="0"/>
    <n v="0"/>
  </r>
  <r>
    <x v="55"/>
    <n v="200042435"/>
    <m/>
    <m/>
    <m/>
    <m/>
    <s v="Registreret hos FVST"/>
    <x v="3"/>
    <n v="25.334436844790073"/>
    <n v="486.71"/>
    <n v="1921.14"/>
  </r>
  <r>
    <x v="56"/>
    <m/>
    <n v="2162988"/>
    <m/>
    <m/>
    <m/>
    <s v="Ikke registreret hos FVST"/>
    <x v="5"/>
    <n v="13.037261206733495"/>
    <n v="34.463999999999999"/>
    <n v="264.35000000000002"/>
  </r>
  <r>
    <x v="57"/>
    <n v="200044538"/>
    <m/>
    <m/>
    <m/>
    <m/>
    <s v="Ikke registreret hos FVST"/>
    <x v="4"/>
    <n v="66.134739536605409"/>
    <n v="421.64600000000002"/>
    <n v="637.55600000000004"/>
  </r>
  <r>
    <x v="58"/>
    <n v="200043647"/>
    <n v="2386462"/>
    <m/>
    <m/>
    <m/>
    <s v="Ikke registreret hos FVST"/>
    <x v="4"/>
    <n v="5.6189193268777755"/>
    <n v="49.137"/>
    <n v="874.49199999999996"/>
  </r>
  <r>
    <x v="59"/>
    <n v="200140674"/>
    <n v="2222649"/>
    <m/>
    <m/>
    <m/>
    <s v="Ikke registreret hos FVST"/>
    <x v="4"/>
    <n v="19.330412786248701"/>
    <n v="57.847999999999999"/>
    <n v="299.25900000000001"/>
  </r>
  <r>
    <x v="60"/>
    <n v="200055084"/>
    <n v="2162953"/>
    <m/>
    <m/>
    <m/>
    <s v="Registreret hos FVST"/>
    <x v="4"/>
    <n v="85.311495998202773"/>
    <n v="315.19099999999997"/>
    <n v="369.459"/>
  </r>
  <r>
    <x v="61"/>
    <n v="200182711"/>
    <n v="1346990"/>
    <m/>
    <m/>
    <m/>
    <s v="Ikke registreret hos FVST"/>
    <x v="2"/>
    <n v="40.476378762237651"/>
    <n v="51.184000000000005"/>
    <n v="126.45400000000001"/>
  </r>
  <r>
    <x v="62"/>
    <n v="200652832"/>
    <m/>
    <m/>
    <m/>
    <m/>
    <s v="Registreret hos FVST"/>
    <x v="6"/>
    <n v="76.140009558662058"/>
    <n v="1532.5719999999999"/>
    <n v="2012.8340000000001"/>
  </r>
  <r>
    <x v="63"/>
    <n v="200536248"/>
    <m/>
    <m/>
    <m/>
    <m/>
    <s v="Registreret hos FVST"/>
    <x v="6"/>
    <n v="53.216752203919896"/>
    <n v="926.37699999999995"/>
    <n v="1740.7619999999999"/>
  </r>
  <r>
    <x v="64"/>
    <n v="200692968"/>
    <m/>
    <m/>
    <m/>
    <m/>
    <s v="Registreret hos FVST"/>
    <x v="6"/>
    <n v="32.504866439304053"/>
    <n v="5931.8029999999999"/>
    <n v="18248.969000000001"/>
  </r>
  <r>
    <x v="65"/>
    <n v="200652849"/>
    <m/>
    <m/>
    <m/>
    <m/>
    <s v="Registreret hos FVST"/>
    <x v="6"/>
    <n v="50.92274126542933"/>
    <n v="851.91200000000003"/>
    <n v="1672.95"/>
  </r>
  <r>
    <x v="66"/>
    <n v="200652900"/>
    <m/>
    <m/>
    <m/>
    <m/>
    <s v="Registreret hos FVST"/>
    <x v="6"/>
    <n v="21.385482879439884"/>
    <n v="282.47399999999999"/>
    <n v="1320.8679999999999"/>
  </r>
  <r>
    <x v="67"/>
    <s v="to numre; 200221267; 200230108"/>
    <m/>
    <m/>
    <m/>
    <m/>
    <m/>
    <x v="6"/>
    <n v="24.361223381368539"/>
    <n v="690.74299999999994"/>
    <n v="2835.42"/>
  </r>
  <r>
    <x v="68"/>
    <m/>
    <n v="2163130"/>
    <n v="1088515"/>
    <m/>
    <m/>
    <s v="Ikke registreret hos FVST"/>
    <x v="4"/>
    <n v="70.993941693080828"/>
    <n v="310.65600000000001"/>
    <n v="437.58100000000002"/>
  </r>
  <r>
    <x v="69"/>
    <n v="200039428"/>
    <m/>
    <m/>
    <m/>
    <m/>
    <s v="Registreret hos FVST"/>
    <x v="3"/>
    <n v="64.643327842755141"/>
    <n v="585.14300000000003"/>
    <n v="905.18700000000001"/>
  </r>
  <r>
    <x v="70"/>
    <s v="To numre; 200159676; 200220246"/>
    <n v="2180848"/>
    <n v="1501208"/>
    <m/>
    <m/>
    <s v="Ikke registreret hos FVST"/>
    <x v="2"/>
    <n v="23.720980306211114"/>
    <n v="123.38800000000001"/>
    <n v="520.1640000000001"/>
  </r>
  <r>
    <x v="71"/>
    <m/>
    <n v="1166810"/>
    <m/>
    <m/>
    <m/>
    <s v="Ikke registreret hos FVST"/>
    <x v="5"/>
    <n v="21.632990580283312"/>
    <n v="24.068000000000001"/>
    <n v="111.256"/>
  </r>
  <r>
    <x v="72"/>
    <m/>
    <n v="1043650"/>
    <m/>
    <m/>
    <m/>
    <s v="Registreret hos FVST"/>
    <x v="0"/>
    <n v="69.764269588915553"/>
    <n v="730.84699999999998"/>
    <n v="1047.595"/>
  </r>
  <r>
    <x v="73"/>
    <m/>
    <m/>
    <m/>
    <m/>
    <m/>
    <m/>
    <x v="6"/>
    <s v=" "/>
    <n v="0"/>
    <n v="0"/>
  </r>
  <r>
    <x v="74"/>
    <n v="200138510"/>
    <m/>
    <m/>
    <m/>
    <m/>
    <s v="Registreret hos FVST"/>
    <x v="1"/>
    <n v="99.81280207924334"/>
    <n v="1149.0329999999999"/>
    <n v="1151.1880000000001"/>
  </r>
  <r>
    <x v="75"/>
    <n v="200041414"/>
    <m/>
    <m/>
    <m/>
    <m/>
    <s v="Registreret hos FVST"/>
    <x v="1"/>
    <n v="89.3163991238888"/>
    <n v="1571.606"/>
    <n v="1759.5940000000001"/>
  </r>
  <r>
    <x v="76"/>
    <m/>
    <n v="2174467"/>
    <n v="2172346"/>
    <n v="2165538"/>
    <m/>
    <s v="Registreret hos FVST"/>
    <x v="6"/>
    <n v="24.245807781664443"/>
    <n v="166.768"/>
    <n v="687.822"/>
  </r>
  <r>
    <x v="77"/>
    <n v="200137940"/>
    <m/>
    <m/>
    <m/>
    <m/>
    <s v="Registreret hos FVST"/>
    <x v="1"/>
    <n v="92.694057947290887"/>
    <n v="1415.67"/>
    <n v="1527.25"/>
  </r>
  <r>
    <x v="78"/>
    <m/>
    <m/>
    <m/>
    <m/>
    <m/>
    <s v="Ikke registreret hos FVST"/>
    <x v="6"/>
    <s v=" "/>
    <n v="0"/>
    <n v="0"/>
  </r>
  <r>
    <x v="79"/>
    <m/>
    <n v="1611791"/>
    <m/>
    <m/>
    <m/>
    <s v="Ikke registreret hos FVST"/>
    <x v="1"/>
    <s v=" "/>
    <n v="0"/>
    <n v="0"/>
  </r>
  <r>
    <x v="80"/>
    <s v="TO numre; 200079202; 200531038"/>
    <m/>
    <m/>
    <m/>
    <m/>
    <s v="Registreret hos FVST"/>
    <x v="7"/>
    <n v="73.394608586201784"/>
    <n v="7020.6200000000008"/>
    <n v="9565.58"/>
  </r>
  <r>
    <x v="81"/>
    <n v="200031637"/>
    <m/>
    <m/>
    <m/>
    <m/>
    <s v="Ikke registreret hos FVST"/>
    <x v="2"/>
    <n v="12.556234415033547"/>
    <n v="73.265000000000001"/>
    <n v="583.495"/>
  </r>
  <r>
    <x v="82"/>
    <m/>
    <n v="1383843"/>
    <m/>
    <m/>
    <m/>
    <s v="Ikke registreret hos FVST"/>
    <x v="0"/>
    <s v=" "/>
    <n v="0"/>
    <n v="0"/>
  </r>
  <r>
    <x v="83"/>
    <n v="200536200"/>
    <m/>
    <m/>
    <m/>
    <m/>
    <s v="Registreret hos FVST"/>
    <x v="6"/>
    <n v="59.724534651475928"/>
    <n v="945.21900000000005"/>
    <n v="1582.6310000000001"/>
  </r>
  <r>
    <x v="84"/>
    <m/>
    <n v="1365582"/>
    <m/>
    <m/>
    <m/>
    <s v="Ikke registreret hos FVST"/>
    <x v="4"/>
    <s v=" "/>
    <n v="0"/>
    <n v="0"/>
  </r>
  <r>
    <x v="85"/>
    <n v="200021706"/>
    <m/>
    <m/>
    <m/>
    <m/>
    <s v="Registreret hos FVST"/>
    <x v="1"/>
    <n v="95.130216265610713"/>
    <n v="1399.16"/>
    <n v="1470.7840000000001"/>
  </r>
  <r>
    <x v="86"/>
    <m/>
    <n v="2164335"/>
    <n v="2223363"/>
    <m/>
    <m/>
    <m/>
    <x v="4"/>
    <n v="1.8141778523489935"/>
    <n v="4.6710000000000003"/>
    <n v="257.47199999999998"/>
  </r>
  <r>
    <x v="87"/>
    <n v="200166322"/>
    <n v="2161308"/>
    <m/>
    <m/>
    <m/>
    <s v="Ikke registreret hos FVST"/>
    <x v="5"/>
    <n v="9.8604152311707089"/>
    <n v="31.626000000000001"/>
    <n v="320.73700000000002"/>
  </r>
  <r>
    <x v="88"/>
    <m/>
    <n v="2214784"/>
    <m/>
    <m/>
    <m/>
    <s v="Ikke registreret hos FVST"/>
    <x v="2"/>
    <n v="14.102199086369914"/>
    <n v="33.186"/>
    <n v="235.32499999999999"/>
  </r>
  <r>
    <x v="89"/>
    <m/>
    <n v="1613144"/>
    <m/>
    <m/>
    <m/>
    <s v="Ikke registreret hos FVST"/>
    <x v="2"/>
    <n v="100"/>
    <n v="10"/>
    <n v="10"/>
  </r>
  <r>
    <x v="90"/>
    <n v="200012124"/>
    <n v="1232086"/>
    <m/>
    <m/>
    <m/>
    <s v="Registreret hos FVST"/>
    <x v="1"/>
    <n v="95.147902133201768"/>
    <n v="2657.7339999999999"/>
    <n v="2793.2660000000001"/>
  </r>
  <r>
    <x v="91"/>
    <m/>
    <n v="1136302"/>
    <m/>
    <m/>
    <m/>
    <m/>
    <x v="4"/>
    <n v="31.796599959651868"/>
    <n v="111.904"/>
    <n v="351.93700000000001"/>
  </r>
  <r>
    <x v="92"/>
    <n v="200031620"/>
    <n v="2361189"/>
    <m/>
    <m/>
    <m/>
    <s v="Registreret hos FVST"/>
    <x v="3"/>
    <n v="91.892944718810568"/>
    <n v="776.10300000000007"/>
    <n v="844.57300000000009"/>
  </r>
  <r>
    <x v="93"/>
    <m/>
    <n v="1098703"/>
    <m/>
    <m/>
    <m/>
    <s v="Ikke registreret hos FVST"/>
    <x v="5"/>
    <n v="28.014305306147186"/>
    <n v="73.945999999999998"/>
    <n v="263.95800000000003"/>
  </r>
  <r>
    <x v="94"/>
    <m/>
    <n v="1174958"/>
    <m/>
    <m/>
    <m/>
    <s v="Ikke registreret hos FVST"/>
    <x v="0"/>
    <s v=" "/>
    <n v="0"/>
    <n v="0"/>
  </r>
  <r>
    <x v="95"/>
    <n v="200031514"/>
    <m/>
    <m/>
    <m/>
    <m/>
    <s v="Registreret hos FVST"/>
    <x v="6"/>
    <n v="56.207295252062366"/>
    <n v="1262.4670000000001"/>
    <n v="2246.0909999999999"/>
  </r>
  <r>
    <x v="96"/>
    <m/>
    <n v="1218014"/>
    <m/>
    <m/>
    <m/>
    <s v="Ikke registreret hos FVST"/>
    <x v="0"/>
    <n v="10.67885286484503"/>
    <n v="219.43899999999999"/>
    <n v="2054.893"/>
  </r>
  <r>
    <x v="97"/>
    <n v="200536224"/>
    <m/>
    <m/>
    <m/>
    <m/>
    <s v="Registreret hos FVST"/>
    <x v="6"/>
    <n v="60.256012562372632"/>
    <n v="1155.7760000000001"/>
    <n v="1918.1089999999999"/>
  </r>
  <r>
    <x v="98"/>
    <s v="TO numre; 200525105; 200525099"/>
    <m/>
    <m/>
    <m/>
    <m/>
    <s v="Registreret hos FVST"/>
    <x v="4"/>
    <n v="57.468346878380594"/>
    <n v="655.01099999999997"/>
    <n v="1139.777"/>
  </r>
  <r>
    <x v="99"/>
    <m/>
    <n v="1096809"/>
    <m/>
    <m/>
    <m/>
    <s v="Ikke registreret hos FVST"/>
    <x v="2"/>
    <n v="13.892853440921087"/>
    <n v="34.847999999999999"/>
    <n v="250.834"/>
  </r>
  <r>
    <x v="100"/>
    <m/>
    <n v="1216525"/>
    <m/>
    <m/>
    <m/>
    <s v="Ikke registreret hos FVST"/>
    <x v="5"/>
    <n v="28.132485569566093"/>
    <n v="60.484000000000002"/>
    <n v="214.99699999999999"/>
  </r>
  <r>
    <x v="101"/>
    <m/>
    <n v="1199339"/>
    <n v="1573820"/>
    <m/>
    <m/>
    <s v="Ikke registreret hos FVST"/>
    <x v="2"/>
    <n v="14.015613564283971"/>
    <n v="21.831"/>
    <n v="155.762"/>
  </r>
  <r>
    <x v="102"/>
    <m/>
    <n v="1839601"/>
    <m/>
    <m/>
    <m/>
    <s v="Ikke registreret hos FVST"/>
    <x v="0"/>
    <n v="26.842147937322373"/>
    <n v="129.11099999999999"/>
    <n v="481.00099999999998"/>
  </r>
  <r>
    <x v="103"/>
    <m/>
    <n v="1123703"/>
    <m/>
    <m/>
    <m/>
    <s v="Registreret hos FVST"/>
    <x v="4"/>
    <n v="8.4888642198015685"/>
    <n v="26.917000000000002"/>
    <n v="317.08600000000001"/>
  </r>
  <r>
    <x v="104"/>
    <n v="200033969"/>
    <n v="2167011"/>
    <m/>
    <m/>
    <m/>
    <s v="Registreret hos FVST"/>
    <x v="4"/>
    <n v="5.4603916535155408"/>
    <n v="49.859000000000002"/>
    <n v="913.10299999999995"/>
  </r>
  <r>
    <x v="105"/>
    <m/>
    <n v="2144619"/>
    <m/>
    <m/>
    <m/>
    <s v="Ikke registreret hos FVST"/>
    <x v="0"/>
    <n v="43.035757647776059"/>
    <n v="333.18799999999999"/>
    <n v="774.21199999999999"/>
  </r>
  <r>
    <x v="106"/>
    <m/>
    <m/>
    <m/>
    <m/>
    <m/>
    <s v="Ikke registreret hos FVST"/>
    <x v="2"/>
    <n v="0"/>
    <n v="0"/>
    <n v="34.72"/>
  </r>
  <r>
    <x v="107"/>
    <m/>
    <n v="1004359"/>
    <n v="2230005"/>
    <n v="2231699"/>
    <n v="1380376"/>
    <s v="Ikke registreret hos FVST"/>
    <x v="5"/>
    <n v="17.370510504604013"/>
    <n v="33.56"/>
    <n v="193.20099999999999"/>
  </r>
  <r>
    <x v="108"/>
    <n v="200023854"/>
    <m/>
    <m/>
    <m/>
    <m/>
    <s v="Registreret hos FVST"/>
    <x v="0"/>
    <n v="28.015209735362873"/>
    <n v="593.83699999999999"/>
    <n v="2119.6949999999997"/>
  </r>
  <r>
    <x v="109"/>
    <n v="200541495"/>
    <m/>
    <m/>
    <m/>
    <m/>
    <s v="Registreret hos FVST"/>
    <x v="1"/>
    <n v="95.710445463672471"/>
    <n v="1519.5889999999999"/>
    <n v="1587.69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59D16C0-C212-439C-857A-57BA081B22F3}" name="Pivottabel1" cacheId="8" applyNumberFormats="0" applyBorderFormats="0" applyFontFormats="0" applyPatternFormats="0" applyAlignmentFormats="0" applyWidthHeightFormats="1" dataCaption="Værdier" updatedVersion="8" minRefreshableVersion="3" useAutoFormatting="1" itemPrintTitles="1" createdVersion="8" indent="0" outline="1" outlineData="1" multipleFieldFilters="0">
  <location ref="A2:D121" firstHeaderRow="0" firstDataRow="1" firstDataCol="1"/>
  <pivotFields count="13">
    <pivotField axis="axisRow" showAll="0">
      <items count="136">
        <item x="0"/>
        <item x="2"/>
        <item x="3"/>
        <item x="4"/>
        <item x="6"/>
        <item m="1" x="119"/>
        <item m="1" x="120"/>
        <item m="1" x="111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3"/>
        <item m="1" x="115"/>
        <item m="1" x="121"/>
        <item x="28"/>
        <item x="29"/>
        <item x="36"/>
        <item x="41"/>
        <item x="43"/>
        <item x="50"/>
        <item x="52"/>
        <item m="1" x="123"/>
        <item x="60"/>
        <item x="62"/>
        <item x="63"/>
        <item x="64"/>
        <item x="65"/>
        <item x="66"/>
        <item m="1" x="128"/>
        <item x="72"/>
        <item x="74"/>
        <item x="75"/>
        <item x="76"/>
        <item x="77"/>
        <item x="80"/>
        <item x="83"/>
        <item m="1" x="132"/>
        <item m="1" x="113"/>
        <item m="1" x="110"/>
        <item x="95"/>
        <item x="97"/>
        <item x="98"/>
        <item x="104"/>
        <item x="108"/>
        <item x="109"/>
        <item x="1"/>
        <item x="21"/>
        <item x="22"/>
        <item x="24"/>
        <item x="25"/>
        <item x="26"/>
        <item x="30"/>
        <item x="31"/>
        <item x="32"/>
        <item x="33"/>
        <item x="34"/>
        <item x="35"/>
        <item x="37"/>
        <item x="38"/>
        <item x="39"/>
        <item x="40"/>
        <item m="1" x="122"/>
        <item x="42"/>
        <item m="1" x="129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m="1" x="134"/>
        <item m="1" x="130"/>
        <item m="1" x="133"/>
        <item x="70"/>
        <item x="71"/>
        <item x="73"/>
        <item x="78"/>
        <item x="79"/>
        <item x="81"/>
        <item x="82"/>
        <item x="84"/>
        <item m="1" x="117"/>
        <item x="86"/>
        <item x="87"/>
        <item x="88"/>
        <item x="89"/>
        <item m="1" x="131"/>
        <item m="1" x="124"/>
        <item x="94"/>
        <item x="96"/>
        <item x="99"/>
        <item x="100"/>
        <item x="101"/>
        <item x="103"/>
        <item m="1" x="127"/>
        <item m="1" x="125"/>
        <item m="1" x="126"/>
        <item x="5"/>
        <item x="44"/>
        <item x="61"/>
        <item x="68"/>
        <item m="1" x="116"/>
        <item m="1" x="118"/>
        <item x="91"/>
        <item x="102"/>
        <item x="105"/>
        <item m="1" x="114"/>
        <item m="1" x="112"/>
        <item x="55"/>
        <item x="93"/>
        <item x="106"/>
        <item x="107"/>
        <item x="27"/>
        <item x="69"/>
        <item x="85"/>
        <item x="7"/>
        <item x="13"/>
        <item x="90"/>
        <item x="67"/>
        <item x="92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9">
        <item x="1"/>
        <item x="4"/>
        <item x="2"/>
        <item x="7"/>
        <item x="3"/>
        <item x="0"/>
        <item x="6"/>
        <item x="5"/>
        <item t="default"/>
      </items>
    </pivotField>
    <pivotField showAll="0"/>
    <pivotField dataField="1" numFmtId="165" showAll="0"/>
    <pivotField dataField="1" numFmtId="165" showAll="0"/>
    <pivotField dragToRow="0" dragToCol="0" dragToPage="0" showAll="0" defaultSubtotal="0"/>
    <pivotField dataField="1" dragToRow="0" dragToCol="0" dragToPage="0" showAll="0" defaultSubtotal="0"/>
  </pivotFields>
  <rowFields count="2">
    <field x="7"/>
    <field x="0"/>
  </rowFields>
  <rowItems count="119">
    <i>
      <x/>
    </i>
    <i r="1">
      <x v="1"/>
    </i>
    <i r="1">
      <x v="2"/>
    </i>
    <i r="1">
      <x v="3"/>
    </i>
    <i r="1">
      <x v="4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9"/>
    </i>
    <i r="1">
      <x v="23"/>
    </i>
    <i r="1">
      <x v="24"/>
    </i>
    <i r="1">
      <x v="26"/>
    </i>
    <i r="1">
      <x v="28"/>
    </i>
    <i r="1">
      <x v="29"/>
    </i>
    <i r="1">
      <x v="39"/>
    </i>
    <i r="1">
      <x v="40"/>
    </i>
    <i r="1">
      <x v="42"/>
    </i>
    <i r="1">
      <x v="53"/>
    </i>
    <i r="1">
      <x v="58"/>
    </i>
    <i r="1">
      <x v="69"/>
    </i>
    <i r="1">
      <x v="92"/>
    </i>
    <i r="1">
      <x v="127"/>
    </i>
    <i r="1">
      <x v="129"/>
    </i>
    <i r="1">
      <x v="130"/>
    </i>
    <i r="1">
      <x v="131"/>
    </i>
    <i r="1">
      <x v="132"/>
    </i>
    <i>
      <x v="1"/>
    </i>
    <i r="1">
      <x v="27"/>
    </i>
    <i r="1">
      <x v="31"/>
    </i>
    <i r="1">
      <x v="50"/>
    </i>
    <i r="1">
      <x v="51"/>
    </i>
    <i r="1">
      <x v="61"/>
    </i>
    <i r="1">
      <x v="66"/>
    </i>
    <i r="1">
      <x v="67"/>
    </i>
    <i r="1">
      <x v="73"/>
    </i>
    <i r="1">
      <x v="82"/>
    </i>
    <i r="1">
      <x v="83"/>
    </i>
    <i r="1">
      <x v="84"/>
    </i>
    <i r="1">
      <x v="95"/>
    </i>
    <i r="1">
      <x v="97"/>
    </i>
    <i r="1">
      <x v="108"/>
    </i>
    <i r="1">
      <x v="113"/>
    </i>
    <i r="1">
      <x v="115"/>
    </i>
    <i r="1">
      <x v="118"/>
    </i>
    <i>
      <x v="2"/>
    </i>
    <i r="1">
      <x v="18"/>
    </i>
    <i r="1">
      <x v="55"/>
    </i>
    <i r="1">
      <x v="56"/>
    </i>
    <i r="1">
      <x v="57"/>
    </i>
    <i r="1">
      <x v="68"/>
    </i>
    <i r="1">
      <x v="71"/>
    </i>
    <i r="1">
      <x v="74"/>
    </i>
    <i r="1">
      <x v="77"/>
    </i>
    <i r="1">
      <x v="78"/>
    </i>
    <i r="1">
      <x v="79"/>
    </i>
    <i r="1">
      <x v="88"/>
    </i>
    <i r="1">
      <x v="93"/>
    </i>
    <i r="1">
      <x v="99"/>
    </i>
    <i r="1">
      <x v="100"/>
    </i>
    <i r="1">
      <x v="105"/>
    </i>
    <i r="1">
      <x v="107"/>
    </i>
    <i r="1">
      <x v="112"/>
    </i>
    <i r="1">
      <x v="114"/>
    </i>
    <i r="1">
      <x v="125"/>
    </i>
    <i>
      <x v="3"/>
    </i>
    <i r="1">
      <x v="43"/>
    </i>
    <i>
      <x v="4"/>
    </i>
    <i r="1">
      <x v="20"/>
    </i>
    <i r="1">
      <x v="123"/>
    </i>
    <i r="1">
      <x v="128"/>
    </i>
    <i r="1">
      <x v="134"/>
    </i>
    <i>
      <x v="5"/>
    </i>
    <i r="1">
      <x/>
    </i>
    <i r="1">
      <x v="17"/>
    </i>
    <i r="1">
      <x v="25"/>
    </i>
    <i r="1">
      <x v="38"/>
    </i>
    <i r="1">
      <x v="52"/>
    </i>
    <i r="1">
      <x v="54"/>
    </i>
    <i r="1">
      <x v="59"/>
    </i>
    <i r="1">
      <x v="60"/>
    </i>
    <i r="1">
      <x v="62"/>
    </i>
    <i r="1">
      <x v="63"/>
    </i>
    <i r="1">
      <x v="64"/>
    </i>
    <i r="1">
      <x v="65"/>
    </i>
    <i r="1">
      <x v="76"/>
    </i>
    <i r="1">
      <x v="80"/>
    </i>
    <i r="1">
      <x v="94"/>
    </i>
    <i r="1">
      <x v="103"/>
    </i>
    <i r="1">
      <x v="104"/>
    </i>
    <i r="1">
      <x v="119"/>
    </i>
    <i r="1">
      <x v="120"/>
    </i>
    <i>
      <x v="6"/>
    </i>
    <i r="1">
      <x v="32"/>
    </i>
    <i r="1">
      <x v="33"/>
    </i>
    <i r="1">
      <x v="34"/>
    </i>
    <i r="1">
      <x v="35"/>
    </i>
    <i r="1">
      <x v="36"/>
    </i>
    <i r="1">
      <x v="41"/>
    </i>
    <i r="1">
      <x v="44"/>
    </i>
    <i r="1">
      <x v="48"/>
    </i>
    <i r="1">
      <x v="49"/>
    </i>
    <i r="1">
      <x v="90"/>
    </i>
    <i r="1">
      <x v="91"/>
    </i>
    <i r="1">
      <x v="133"/>
    </i>
    <i>
      <x v="7"/>
    </i>
    <i r="1">
      <x v="75"/>
    </i>
    <i r="1">
      <x v="81"/>
    </i>
    <i r="1">
      <x v="89"/>
    </i>
    <i r="1">
      <x v="98"/>
    </i>
    <i r="1">
      <x v="106"/>
    </i>
    <i r="1">
      <x v="124"/>
    </i>
    <i r="1">
      <x v="12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af Øko kg" fld="9" baseField="0" baseItem="6" numFmtId="3"/>
    <dataField name="Sum af Omfattet kg" fld="10" baseField="0" baseItem="6" numFmtId="3"/>
    <dataField name="Sum af Øko%" fld="12" baseField="0" baseItem="6" numFmtId="9"/>
  </dataField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D126-F881-484A-9E58-402A860B3A47}">
  <dimension ref="A1:K57"/>
  <sheetViews>
    <sheetView tabSelected="1" zoomScale="78" workbookViewId="0">
      <pane ySplit="3" topLeftCell="A4" activePane="bottomLeft" state="frozen"/>
      <selection pane="bottomLeft" activeCell="L46" sqref="L46"/>
    </sheetView>
  </sheetViews>
  <sheetFormatPr defaultRowHeight="14.5" x14ac:dyDescent="0.35"/>
  <cols>
    <col min="1" max="1" width="51.7265625" customWidth="1"/>
    <col min="2" max="2" width="12.26953125" customWidth="1"/>
    <col min="3" max="3" width="8.7265625" customWidth="1"/>
  </cols>
  <sheetData>
    <row r="1" spans="1:5" ht="21" x14ac:dyDescent="0.5">
      <c r="A1" s="9" t="s">
        <v>41</v>
      </c>
      <c r="B1" s="9"/>
    </row>
    <row r="2" spans="1:5" x14ac:dyDescent="0.35">
      <c r="A2" s="1"/>
      <c r="B2" s="1"/>
      <c r="C2" s="6" t="s">
        <v>40</v>
      </c>
      <c r="D2" s="6" t="s">
        <v>39</v>
      </c>
      <c r="E2" s="6" t="s">
        <v>38</v>
      </c>
    </row>
    <row r="3" spans="1:5" x14ac:dyDescent="0.35">
      <c r="A3" s="1"/>
      <c r="B3" s="6" t="str">
        <f>+'Øko% Alle køkkener'!A1</f>
        <v>3. kvartal 25</v>
      </c>
      <c r="C3" s="6" t="s">
        <v>42</v>
      </c>
      <c r="D3" s="6" t="s">
        <v>43</v>
      </c>
      <c r="E3" s="6" t="s">
        <v>44</v>
      </c>
    </row>
    <row r="4" spans="1:5" x14ac:dyDescent="0.35">
      <c r="A4" s="6" t="str">
        <f>'Øko% Alle køkkener'!A3</f>
        <v>Institutionsnavn</v>
      </c>
      <c r="B4" s="6"/>
      <c r="C4" s="6"/>
      <c r="D4" s="1"/>
      <c r="E4" s="6"/>
    </row>
    <row r="5" spans="1:5" x14ac:dyDescent="0.35">
      <c r="A5" s="1" t="str">
        <f>'Øko% kommunale køkk. m. smiley'!A5</f>
        <v>Anais Kulturcafé, Farum Kulturhus</v>
      </c>
      <c r="B5" s="16">
        <f>+VLOOKUP(A5,'Øko% Alle køkkener'!$A$5:$I$114,9,FALSE)</f>
        <v>61.715218483174283</v>
      </c>
      <c r="C5" s="1">
        <v>1</v>
      </c>
      <c r="D5" s="1"/>
      <c r="E5" s="1"/>
    </row>
    <row r="6" spans="1:5" x14ac:dyDescent="0.35">
      <c r="A6" s="1" t="str">
        <f>'Øko% kommunale køkk. m. smiley'!A6</f>
        <v>Børnehuset Atlantis (Tidl. Børnehusene, Ryttergårdsvej)</v>
      </c>
      <c r="B6" s="16">
        <f>+VLOOKUP(A6,'Øko% Alle køkkener'!$A$5:$I$114,9,FALSE)</f>
        <v>88.599906877743777</v>
      </c>
      <c r="C6" s="1"/>
      <c r="D6" s="1">
        <v>1</v>
      </c>
      <c r="E6" s="1"/>
    </row>
    <row r="7" spans="1:5" x14ac:dyDescent="0.35">
      <c r="A7" s="1" t="str">
        <f>'Øko% kommunale køkk. m. smiley'!A7</f>
        <v>Børnehuset Birkedal</v>
      </c>
      <c r="B7" s="16">
        <f>+VLOOKUP(A7,'Øko% Alle køkkener'!$A$5:$I$114,9,FALSE)</f>
        <v>71.761389059663657</v>
      </c>
      <c r="C7" s="1"/>
      <c r="D7" s="1">
        <v>1</v>
      </c>
      <c r="E7" s="1"/>
    </row>
    <row r="8" spans="1:5" x14ac:dyDescent="0.35">
      <c r="A8" s="1" t="str">
        <f>'Øko% kommunale køkk. m. smiley'!A8</f>
        <v>Børnehuset Birkhøj</v>
      </c>
      <c r="B8" s="16">
        <f>+VLOOKUP(A8,'Øko% Alle køkkener'!$A$5:$I$114,9,FALSE)</f>
        <v>80.091023852235736</v>
      </c>
      <c r="C8" s="1"/>
      <c r="D8" s="1">
        <v>1</v>
      </c>
      <c r="E8" s="1"/>
    </row>
    <row r="9" spans="1:5" x14ac:dyDescent="0.35">
      <c r="A9" s="1" t="str">
        <f>'Øko% kommunale køkk. m. smiley'!A9</f>
        <v>Børnehuset Bøgely</v>
      </c>
      <c r="B9" s="16">
        <f>+VLOOKUP(A9,'Øko% Alle køkkener'!$A$5:$I$114,9,FALSE)</f>
        <v>98.749894246104162</v>
      </c>
      <c r="C9" s="1"/>
      <c r="D9" s="1"/>
      <c r="E9" s="1">
        <v>1</v>
      </c>
    </row>
    <row r="10" spans="1:5" x14ac:dyDescent="0.35">
      <c r="A10" s="1" t="str">
        <f>'Øko% kommunale køkk. m. smiley'!A10</f>
        <v>Børnehuset Egetræet</v>
      </c>
      <c r="B10" s="16">
        <f>+VLOOKUP(A10,'Øko% Alle køkkener'!$A$5:$I$114,9,FALSE)</f>
        <v>81.917128149314337</v>
      </c>
      <c r="C10" s="1"/>
      <c r="D10" s="1">
        <v>1</v>
      </c>
      <c r="E10" s="103"/>
    </row>
    <row r="11" spans="1:5" x14ac:dyDescent="0.35">
      <c r="A11" s="1" t="str">
        <f>'Øko% kommunale køkk. m. smiley'!A11</f>
        <v>Børnehuset Kirke Værløse</v>
      </c>
      <c r="B11" s="16">
        <f>+VLOOKUP(A11,'Øko% Alle køkkener'!$A$5:$I$114,9,FALSE)</f>
        <v>99.108830068210395</v>
      </c>
      <c r="C11" s="1"/>
      <c r="D11" s="1"/>
      <c r="E11" s="1">
        <v>1</v>
      </c>
    </row>
    <row r="12" spans="1:5" x14ac:dyDescent="0.35">
      <c r="A12" s="1" t="str">
        <f>'Øko% kommunale køkk. m. smiley'!A12</f>
        <v>Børnehuset Lyngholm nr. 15 (vuggest.)</v>
      </c>
      <c r="B12" s="16">
        <f>+VLOOKUP(A12,'Øko% Alle køkkener'!$A$5:$I$114,9,FALSE)</f>
        <v>97.37542195404167</v>
      </c>
      <c r="C12" s="1"/>
      <c r="D12" s="1"/>
      <c r="E12" s="1">
        <v>1</v>
      </c>
    </row>
    <row r="13" spans="1:5" x14ac:dyDescent="0.35">
      <c r="A13" s="1" t="str">
        <f>'Øko% kommunale køkk. m. smiley'!A13</f>
        <v>Børnehuset Lyngholm nr. 17 (børneh.)</v>
      </c>
      <c r="B13" s="16">
        <f>+VLOOKUP(A13,'Øko% Alle køkkener'!$A$5:$I$114,9,FALSE)</f>
        <v>94.027098851455364</v>
      </c>
      <c r="C13" s="1"/>
      <c r="D13" s="1"/>
      <c r="E13" s="104">
        <v>1</v>
      </c>
    </row>
    <row r="14" spans="1:5" x14ac:dyDescent="0.35">
      <c r="A14" s="1" t="str">
        <f>'Øko% kommunale køkk. m. smiley'!A14</f>
        <v>Børnehuset Mimers Brønd</v>
      </c>
      <c r="B14" s="16">
        <f>+VLOOKUP(A14,'Øko% Alle køkkener'!$A$5:$I$114,9,FALSE)</f>
        <v>87.674739290945794</v>
      </c>
      <c r="C14" s="1"/>
      <c r="D14" s="1">
        <v>1</v>
      </c>
      <c r="E14" s="1"/>
    </row>
    <row r="15" spans="1:5" x14ac:dyDescent="0.35">
      <c r="A15" s="1" t="str">
        <f>'Øko% kommunale køkk. m. smiley'!A15</f>
        <v>Børnehuset Nørreskoven</v>
      </c>
      <c r="B15" s="16">
        <f>+VLOOKUP(A15,'Øko% Alle køkkener'!$A$5:$I$114,9,FALSE)</f>
        <v>92.64906002309462</v>
      </c>
      <c r="C15" s="1"/>
      <c r="D15" s="1"/>
      <c r="E15" s="1">
        <v>1</v>
      </c>
    </row>
    <row r="16" spans="1:5" x14ac:dyDescent="0.35">
      <c r="A16" s="1" t="str">
        <f>'Øko% kommunale køkk. m. smiley'!A16</f>
        <v>Børnehuset Siv</v>
      </c>
      <c r="B16" s="16">
        <f>+VLOOKUP(A16,'Øko% Alle køkkener'!$A$5:$I$114,9,FALSE)</f>
        <v>45.888582414402073</v>
      </c>
      <c r="C16" s="1"/>
      <c r="D16" s="1"/>
      <c r="E16" s="1"/>
    </row>
    <row r="17" spans="1:5" x14ac:dyDescent="0.35">
      <c r="A17" s="1" t="str">
        <f>'Øko% kommunale køkk. m. smiley'!A17</f>
        <v>Børnehuset Skovbakken</v>
      </c>
      <c r="B17" s="16">
        <f>+VLOOKUP(A17,'Øko% Alle køkkener'!$A$5:$I$114,9,FALSE)</f>
        <v>90.553684739760158</v>
      </c>
      <c r="C17" s="1"/>
      <c r="D17" s="1">
        <v>1</v>
      </c>
      <c r="E17" s="1"/>
    </row>
    <row r="18" spans="1:5" x14ac:dyDescent="0.35">
      <c r="A18" s="1" t="str">
        <f>'Øko% kommunale køkk. m. smiley'!A18</f>
        <v>Børnehuset Solbjerg</v>
      </c>
      <c r="B18" s="16">
        <f>+VLOOKUP(A18,'Øko% Alle køkkener'!$A$5:$I$114,9,FALSE)</f>
        <v>99.813018994103089</v>
      </c>
      <c r="C18" s="1"/>
      <c r="D18" s="1"/>
      <c r="E18" s="1">
        <v>1</v>
      </c>
    </row>
    <row r="19" spans="1:5" x14ac:dyDescent="0.35">
      <c r="A19" s="1" t="str">
        <f>'Øko% kommunale køkk. m. smiley'!A19</f>
        <v>Børnehuset Søndersø</v>
      </c>
      <c r="B19" s="16">
        <f>+VLOOKUP(A19,'Øko% Alle køkkener'!$A$5:$I$114,9,FALSE)</f>
        <v>86.078895447237585</v>
      </c>
      <c r="C19" s="1"/>
      <c r="D19" s="1">
        <v>1</v>
      </c>
      <c r="E19" s="1"/>
    </row>
    <row r="20" spans="1:5" x14ac:dyDescent="0.35">
      <c r="A20" s="1" t="str">
        <f>'Øko% kommunale køkk. m. smiley'!A20</f>
        <v>Børnehuset Vingesus</v>
      </c>
      <c r="B20" s="16">
        <f>+VLOOKUP(A20,'Øko% Alle køkkener'!$A$5:$I$114,9,FALSE)</f>
        <v>97.648590526976946</v>
      </c>
      <c r="C20" s="1"/>
      <c r="D20" s="1"/>
      <c r="E20" s="1">
        <v>1</v>
      </c>
    </row>
    <row r="21" spans="1:5" x14ac:dyDescent="0.35">
      <c r="A21" s="1" t="str">
        <f>'Øko% kommunale køkk. m. smiley'!A22</f>
        <v>Dalgårdens Børnehus</v>
      </c>
      <c r="B21" s="16">
        <f>+VLOOKUP(A21,'Øko% Alle køkkener'!$A$5:$I$114,9,FALSE)</f>
        <v>99.399705107531418</v>
      </c>
      <c r="C21" s="1"/>
      <c r="D21" s="1"/>
      <c r="E21" s="1">
        <v>1</v>
      </c>
    </row>
    <row r="22" spans="1:5" hidden="1" x14ac:dyDescent="0.35">
      <c r="A22" s="1" t="str">
        <f>'Øko% kommunale køkk. m. smiley'!A23</f>
        <v>Egeskolen, kantine</v>
      </c>
      <c r="B22" s="16">
        <f>+VLOOKUP(A22,'Øko% Alle køkkener'!$A$5:$I$114,9,FALSE)</f>
        <v>4.1172005981240654</v>
      </c>
      <c r="C22" s="105"/>
      <c r="D22" s="1"/>
      <c r="E22" s="1"/>
    </row>
    <row r="23" spans="1:5" x14ac:dyDescent="0.35">
      <c r="A23" s="1" t="str">
        <f>'Øko% Alle køkkener'!A30</f>
        <v>Espebo Børnecenter</v>
      </c>
      <c r="B23" s="16">
        <f>+VLOOKUP(A23,'Øko% Alle køkkener'!$A$5:$I$114,9,FALSE)</f>
        <v>75.507845085067899</v>
      </c>
      <c r="C23" s="105"/>
      <c r="D23" s="1">
        <v>1</v>
      </c>
      <c r="E23" s="1"/>
    </row>
    <row r="24" spans="1:5" x14ac:dyDescent="0.35">
      <c r="A24" s="1" t="str">
        <f>'Øko% kommunale køkk. m. smiley'!A24</f>
        <v>Farum Nordby Børnehus</v>
      </c>
      <c r="B24" s="16">
        <f>+VLOOKUP(A24,'Øko% Alle køkkener'!$A$5:$I$114,9,FALSE)</f>
        <v>81.336279554356437</v>
      </c>
      <c r="C24" s="1"/>
      <c r="D24" s="1">
        <v>1</v>
      </c>
      <c r="E24" s="1"/>
    </row>
    <row r="25" spans="1:5" x14ac:dyDescent="0.35">
      <c r="A25" s="1" t="str">
        <f>'Øko% kommunale køkk. m. smiley'!A25</f>
        <v>Farum Vejgaard, BH/VS</v>
      </c>
      <c r="B25" s="16">
        <f>+VLOOKUP(A25,'Øko% Alle køkkener'!$A$5:$I$114,9,FALSE)</f>
        <v>87.4551588572875</v>
      </c>
      <c r="C25" s="1"/>
      <c r="D25" s="1">
        <v>1</v>
      </c>
      <c r="E25" s="1"/>
    </row>
    <row r="26" spans="1:5" x14ac:dyDescent="0.35">
      <c r="A26" s="1" t="str">
        <f>'Øko% kommunale køkk. m. smiley'!A26</f>
        <v>Farumsødal</v>
      </c>
      <c r="B26" s="16">
        <f>+VLOOKUP(A26,'Øko% Alle køkkener'!$A$5:$I$114,9,FALSE)</f>
        <v>90.859530545652362</v>
      </c>
      <c r="C26" s="1"/>
      <c r="D26" s="1">
        <v>1</v>
      </c>
      <c r="E26" s="1"/>
    </row>
    <row r="27" spans="1:5" hidden="1" x14ac:dyDescent="0.35">
      <c r="A27" s="1" t="str">
        <f>'Øko% kommunale køkk. m. smiley'!A27</f>
        <v>Furesø Skole- og Familiehus (inkl. Rådgivning, vejledn. og støtte)</v>
      </c>
      <c r="B27" s="16">
        <f>+VLOOKUP(A27,'Øko% Alle køkkener'!$A$5:$I$114,9,FALSE)</f>
        <v>77.900572578461833</v>
      </c>
      <c r="C27" s="1"/>
      <c r="D27" s="1"/>
      <c r="E27" s="1"/>
    </row>
    <row r="28" spans="1:5" x14ac:dyDescent="0.35">
      <c r="A28" s="1" t="str">
        <f>'Øko% kommunale køkk. m. smiley'!A28</f>
        <v>Hareskov Børnehus</v>
      </c>
      <c r="B28" s="16">
        <f>+VLOOKUP(A28,'Øko% Alle køkkener'!$A$5:$I$114,9,FALSE)</f>
        <v>98.732599381635239</v>
      </c>
      <c r="C28" s="1"/>
      <c r="D28" s="104"/>
      <c r="E28" s="1">
        <v>1</v>
      </c>
    </row>
    <row r="29" spans="1:5" hidden="1" x14ac:dyDescent="0.35">
      <c r="A29" s="1" t="str">
        <f>'Øko% kommunale køkk. m. smiley'!A29</f>
        <v>Hareskov FFO - Gasværket, klub</v>
      </c>
      <c r="B29" s="16">
        <f>+VLOOKUP(A29,'Øko% Alle køkkener'!$A$5:$I$114,9,FALSE)</f>
        <v>39.764105309912196</v>
      </c>
      <c r="C29" s="107"/>
      <c r="D29" s="107"/>
      <c r="E29" s="1"/>
    </row>
    <row r="30" spans="1:5" x14ac:dyDescent="0.35">
      <c r="A30" s="1" t="str">
        <f>+'Øko% kommunale køkk. m. smiley'!A30</f>
        <v>Krudthuset</v>
      </c>
      <c r="B30" s="16">
        <f>+VLOOKUP(A30,'Øko% Alle køkkener'!$A$5:$I$114,9,FALSE)</f>
        <v>99.464310041986209</v>
      </c>
      <c r="C30" s="107"/>
      <c r="D30" s="107"/>
      <c r="E30" s="1">
        <v>1</v>
      </c>
    </row>
    <row r="31" spans="1:5" x14ac:dyDescent="0.35">
      <c r="A31" s="1" t="str">
        <f>+'Øko% kommunale køkk. m. smiley'!A31</f>
        <v>Lille Værløse Skole, kantinen</v>
      </c>
      <c r="B31" s="16">
        <f>+VLOOKUP(A31,'Øko% Alle køkkener'!$A$5:$I$114,9,FALSE)</f>
        <v>25.334436844790073</v>
      </c>
      <c r="C31" s="107"/>
      <c r="D31" s="107"/>
      <c r="E31" s="1"/>
    </row>
    <row r="32" spans="1:5" x14ac:dyDescent="0.35">
      <c r="A32" s="1" t="str">
        <f>+'Øko% kommunale køkk. m. smiley'!A32</f>
        <v>Lillestjernen FFO</v>
      </c>
      <c r="B32" s="16">
        <f>+VLOOKUP(A32,'Øko% Alle køkkener'!$A$5:$I$114,9,FALSE)</f>
        <v>85.311495998202773</v>
      </c>
      <c r="C32" s="107"/>
      <c r="D32" s="103">
        <v>1</v>
      </c>
      <c r="E32" s="1"/>
    </row>
    <row r="33" spans="1:5" x14ac:dyDescent="0.35">
      <c r="A33" s="1" t="str">
        <f>+'Øko% kommunale køkk. m. smiley'!A33</f>
        <v>Lillevang - Blommehaven</v>
      </c>
      <c r="B33" s="16">
        <f>+VLOOKUP(A33,'Øko% Alle køkkener'!$A$5:$I$114,9,FALSE)</f>
        <v>76.140009558662058</v>
      </c>
      <c r="C33" s="1">
        <v>3</v>
      </c>
      <c r="D33" s="135"/>
      <c r="E33" s="1"/>
    </row>
    <row r="34" spans="1:5" x14ac:dyDescent="0.35">
      <c r="A34" s="1" t="str">
        <f>+'Øko% kommunale køkk. m. smiley'!A34</f>
        <v xml:space="preserve">Lillevang - Kornelhaven </v>
      </c>
      <c r="B34" s="16">
        <f>+VLOOKUP(A34,'Øko% Alle køkkener'!$A$5:$I$114,9,FALSE)</f>
        <v>53.216752203919896</v>
      </c>
      <c r="C34" s="1">
        <v>3</v>
      </c>
      <c r="D34" s="1"/>
      <c r="E34" s="1"/>
    </row>
    <row r="35" spans="1:5" x14ac:dyDescent="0.35">
      <c r="A35" s="1" t="str">
        <f>+'Øko% kommunale køkk. m. smiley'!A35</f>
        <v>Lillevang - Køkken</v>
      </c>
      <c r="B35" s="16">
        <f>+VLOOKUP(A35,'Øko% Alle køkkener'!$A$5:$I$114,9,FALSE)</f>
        <v>32.504866439304053</v>
      </c>
      <c r="C35" s="1">
        <v>1</v>
      </c>
      <c r="D35" s="1"/>
      <c r="E35" s="1"/>
    </row>
    <row r="36" spans="1:5" x14ac:dyDescent="0.35">
      <c r="A36" s="1" t="str">
        <f>+'Øko% kommunale køkk. m. smiley'!A36</f>
        <v>Lillevang - Magnoliehaven</v>
      </c>
      <c r="B36" s="16">
        <f>+VLOOKUP(A36,'Øko% Alle køkkener'!$A$5:$I$114,9,FALSE)</f>
        <v>50.92274126542933</v>
      </c>
      <c r="C36" s="1">
        <v>1</v>
      </c>
      <c r="D36" s="1"/>
      <c r="E36" s="1"/>
    </row>
    <row r="37" spans="1:5" x14ac:dyDescent="0.35">
      <c r="A37" s="1" t="str">
        <f>+'Øko% kommunale køkk. m. smiley'!A37</f>
        <v>Lillevang - Syrenhaven</v>
      </c>
      <c r="B37" s="16">
        <f>+VLOOKUP(A37,'Øko% Alle køkkener'!$A$5:$I$114,9,FALSE)</f>
        <v>21.385482879439884</v>
      </c>
      <c r="C37" s="1"/>
      <c r="D37" s="1"/>
      <c r="E37" s="1"/>
    </row>
    <row r="38" spans="1:5" x14ac:dyDescent="0.35">
      <c r="A38" s="1" t="str">
        <f>+'Øko% kommunale køkk. m. smiley'!A38</f>
        <v>Lillevang - Rosenhaven</v>
      </c>
      <c r="B38" s="16">
        <f>+VLOOKUP(A38,'Øko% Alle køkkener'!$A$5:$I$114,9,FALSE)</f>
        <v>24.361223381368539</v>
      </c>
      <c r="C38" s="1"/>
      <c r="D38" s="1"/>
      <c r="E38" s="1"/>
    </row>
    <row r="39" spans="1:5" x14ac:dyDescent="0.35">
      <c r="A39" s="1" t="str">
        <f>+'Øko% kommunale køkk. m. smiley'!A39</f>
        <v>Lyngholmskolen, kantinen</v>
      </c>
      <c r="B39" s="16">
        <f>+VLOOKUP(A39,'Øko% Alle køkkener'!$A$5:$I$114,9,FALSE)</f>
        <v>64.643327842755141</v>
      </c>
      <c r="C39" s="1"/>
      <c r="D39" s="1"/>
      <c r="E39" s="1"/>
    </row>
    <row r="40" spans="1:5" x14ac:dyDescent="0.35">
      <c r="A40" s="1" t="str">
        <f>+'Øko% kommunale køkk. m. smiley'!A40</f>
        <v>Lynghuset</v>
      </c>
      <c r="B40" s="16">
        <f>+VLOOKUP(A40,'Øko% Alle køkkener'!$A$5:$I$114,9,FALSE)</f>
        <v>69.764269588915553</v>
      </c>
      <c r="C40" s="1"/>
      <c r="D40" s="1">
        <v>1</v>
      </c>
      <c r="E40" s="1"/>
    </row>
    <row r="41" spans="1:5" x14ac:dyDescent="0.35">
      <c r="A41" s="1" t="str">
        <f>+'Øko% kommunale køkk. m. smiley'!A41</f>
        <v>Nordvænget Vuggestue</v>
      </c>
      <c r="B41" s="16">
        <f>+VLOOKUP(A41,'Øko% Alle køkkener'!$A$5:$I$114,9,FALSE)</f>
        <v>99.81280207924334</v>
      </c>
      <c r="C41" s="1"/>
      <c r="D41" s="1"/>
      <c r="E41" s="103">
        <v>1</v>
      </c>
    </row>
    <row r="42" spans="1:5" x14ac:dyDescent="0.35">
      <c r="A42" s="1" t="str">
        <f>+'Øko% kommunale køkk. m. smiley'!A42</f>
        <v>Paletten (Valhalla)</v>
      </c>
      <c r="B42" s="16">
        <f>+VLOOKUP(A42,'Øko% Alle køkkener'!$A$5:$I$114,9,FALSE)</f>
        <v>89.3163991238888</v>
      </c>
      <c r="C42" s="1"/>
      <c r="D42" s="1">
        <v>1</v>
      </c>
      <c r="E42" s="1"/>
    </row>
    <row r="43" spans="1:5" x14ac:dyDescent="0.35">
      <c r="A43" s="1" t="str">
        <f>+'Øko% kommunale køkk. m. smiley'!A43</f>
        <v>Plejecenteret Solbjerghaven</v>
      </c>
      <c r="B43" s="16">
        <f>+VLOOKUP(A43,'Øko% Alle køkkener'!$A$5:$I$114,9,FALSE)</f>
        <v>24.245807781664443</v>
      </c>
      <c r="C43" s="1"/>
      <c r="D43" s="1"/>
      <c r="E43" s="1"/>
    </row>
    <row r="44" spans="1:5" x14ac:dyDescent="0.35">
      <c r="A44" s="1" t="str">
        <f>+'Øko% kommunale køkk. m. smiley'!A44</f>
        <v>Ryet Børnehus</v>
      </c>
      <c r="B44" s="16">
        <f>+VLOOKUP(A44,'Øko% Alle køkkener'!$A$5:$I$114,9,FALSE)</f>
        <v>92.694057947290887</v>
      </c>
      <c r="C44" s="1"/>
      <c r="D44" s="1"/>
      <c r="E44" s="1">
        <v>1</v>
      </c>
    </row>
    <row r="45" spans="1:5" x14ac:dyDescent="0.35">
      <c r="A45" s="1" t="str">
        <f>+'Øko% kommunale køkk. m. smiley'!A45</f>
        <v>Rådhuset Furesø Kommune + frugtordning</v>
      </c>
      <c r="B45" s="16">
        <f>+VLOOKUP(A45,'Øko% Alle køkkener'!$A$5:$I$114,9,FALSE)</f>
        <v>73.394608586201784</v>
      </c>
      <c r="C45" s="1"/>
      <c r="D45" s="1">
        <v>1</v>
      </c>
      <c r="E45" s="1"/>
    </row>
    <row r="46" spans="1:5" x14ac:dyDescent="0.35">
      <c r="A46" s="1" t="str">
        <f>+'Øko% kommunale køkk. m. smiley'!A46</f>
        <v>Skovgården</v>
      </c>
      <c r="B46" s="16">
        <f>+VLOOKUP(A46,'Øko% Alle køkkener'!$A$5:$I$114,9,FALSE)</f>
        <v>59.724534651475928</v>
      </c>
      <c r="C46" s="1">
        <v>1</v>
      </c>
      <c r="D46" s="1"/>
      <c r="E46" s="1"/>
    </row>
    <row r="47" spans="1:5" x14ac:dyDescent="0.35">
      <c r="A47" s="1" t="str">
        <f>+'Øko% kommunale køkk. m. smiley'!A47</f>
        <v>Solstrålen</v>
      </c>
      <c r="B47" s="16">
        <f>+VLOOKUP(A47,'Øko% Alle køkkener'!$A$5:$I$114,9,FALSE)</f>
        <v>95.130216265610713</v>
      </c>
      <c r="C47" s="1"/>
      <c r="D47" s="1">
        <v>1</v>
      </c>
      <c r="E47" s="1"/>
    </row>
    <row r="48" spans="1:5" x14ac:dyDescent="0.35">
      <c r="A48" s="1" t="str">
        <f>+'Øko% kommunale køkk. m. smiley'!A48</f>
        <v>Stavnsholt Børnehus, integr.</v>
      </c>
      <c r="B48" s="16">
        <f>+VLOOKUP(A48,'Øko% Alle køkkener'!$A$5:$I$114,9,FALSE)</f>
        <v>95.147902133201768</v>
      </c>
      <c r="C48" s="1"/>
      <c r="D48" s="1"/>
      <c r="E48" s="1">
        <v>1</v>
      </c>
    </row>
    <row r="49" spans="1:5" hidden="1" x14ac:dyDescent="0.35">
      <c r="A49" s="1" t="str">
        <f>+'Øko% kommunale køkk. m. smiley'!A49</f>
        <v xml:space="preserve">Stavnsholtskolen, kantinen. </v>
      </c>
      <c r="B49" s="16">
        <f>+VLOOKUP(A49,'Øko% Alle køkkener'!$A$5:$I$114,9,FALSE)</f>
        <v>91.892944718810568</v>
      </c>
      <c r="C49" s="1"/>
      <c r="D49" s="1"/>
      <c r="E49" s="1"/>
    </row>
    <row r="50" spans="1:5" x14ac:dyDescent="0.35">
      <c r="A50" s="1" t="str">
        <f>+'Øko% kommunale køkk. m. smiley'!A50</f>
        <v>Svanepunktet Plejecenter, Svane</v>
      </c>
      <c r="B50" s="16">
        <f>+VLOOKUP(A50,'Øko% Alle køkkener'!$A$5:$I$114,9,FALSE)</f>
        <v>56.207295252062366</v>
      </c>
      <c r="C50" s="1">
        <v>2</v>
      </c>
      <c r="D50" s="1"/>
      <c r="E50" s="1"/>
    </row>
    <row r="51" spans="1:5" x14ac:dyDescent="0.35">
      <c r="A51" s="1" t="str">
        <f>+'Øko% kommunale køkk. m. smiley'!A51</f>
        <v>Svanepunktet, Rehab</v>
      </c>
      <c r="B51" s="16">
        <f>+VLOOKUP(A51,'Øko% Alle køkkener'!$A$5:$I$114,9,FALSE)</f>
        <v>60.256012562372632</v>
      </c>
      <c r="C51" s="1">
        <v>2</v>
      </c>
      <c r="D51" s="1"/>
      <c r="E51" s="1"/>
    </row>
    <row r="52" spans="1:5" x14ac:dyDescent="0.35">
      <c r="A52" s="1" t="str">
        <f>'Øko% kommunale køkk. m. smiley'!A52</f>
        <v>Syvstjerneklubben &amp; kantine</v>
      </c>
      <c r="B52" s="16">
        <f>+VLOOKUP(A52,'Øko% Alle køkkener'!$A$5:$I$114,9,FALSE)</f>
        <v>57.468346878380594</v>
      </c>
      <c r="C52" s="1"/>
      <c r="D52" s="1"/>
      <c r="E52" s="1"/>
    </row>
    <row r="53" spans="1:5" hidden="1" x14ac:dyDescent="0.35">
      <c r="A53" s="1" t="str">
        <f>'Øko% kommunale køkk. m. smiley'!A53</f>
        <v>Søndersø FFO 2, Solbjerggaard</v>
      </c>
      <c r="B53" s="16">
        <f>+VLOOKUP(A53,'Øko% Alle køkkener'!$A$5:$I$114,9,FALSE)</f>
        <v>5.4603916535155408</v>
      </c>
      <c r="C53" s="1"/>
      <c r="D53" s="1"/>
      <c r="E53" s="1"/>
    </row>
    <row r="54" spans="1:5" x14ac:dyDescent="0.35">
      <c r="A54" s="1" t="str">
        <f>'Øko% kommunale køkk. m. smiley'!A54</f>
        <v>Værløse Svømmehal</v>
      </c>
      <c r="B54" s="16">
        <f>+VLOOKUP(A54,'Øko% Alle køkkener'!$A$5:$I$114,9,FALSE)</f>
        <v>28.015209735362873</v>
      </c>
      <c r="C54" s="1"/>
      <c r="D54" s="1"/>
      <c r="E54" s="1"/>
    </row>
    <row r="55" spans="1:5" x14ac:dyDescent="0.35">
      <c r="A55" s="1" t="str">
        <f>'Øko% kommunale køkk. m. smiley'!A55</f>
        <v>Åkanden</v>
      </c>
      <c r="B55" s="16">
        <f>+VLOOKUP(A55,'Øko% Alle køkkener'!$A$5:$I$114,9,FALSE)</f>
        <v>95.710445463672471</v>
      </c>
      <c r="C55" s="1"/>
      <c r="D55" s="1"/>
      <c r="E55" s="1">
        <v>1</v>
      </c>
    </row>
    <row r="56" spans="1:5" hidden="1" x14ac:dyDescent="0.35">
      <c r="A56" s="1" t="str">
        <f>'Øko% kommunale køkk. m. smiley'!A56</f>
        <v>I alt %</v>
      </c>
      <c r="B56" s="16" t="e">
        <f>+VLOOKUP(A56,'Øko% Alle køkkener'!$A$5:$I$114,9,FALSE)</f>
        <v>#N/A</v>
      </c>
      <c r="C56" s="106"/>
      <c r="D56" s="106"/>
      <c r="E56" s="106"/>
    </row>
    <row r="57" spans="1:5" x14ac:dyDescent="0.35">
      <c r="A57" s="14" t="s">
        <v>61</v>
      </c>
      <c r="B57" s="23">
        <f>C57+D57+E57</f>
        <v>44</v>
      </c>
      <c r="C57" s="10">
        <f>SUM(C4:C56)</f>
        <v>14</v>
      </c>
      <c r="D57" s="10">
        <f>SUM(D4:D56)</f>
        <v>16</v>
      </c>
      <c r="E57" s="10">
        <f>SUM(E4:E56)</f>
        <v>14</v>
      </c>
    </row>
  </sheetData>
  <phoneticPr fontId="32" type="noConversion"/>
  <conditionalFormatting sqref="C4">
    <cfRule type="expression" dxfId="5" priority="2">
      <formula>_xlfn.IFS($C4&gt;1,$B4&lt;30)</formula>
    </cfRule>
  </conditionalFormatting>
  <conditionalFormatting sqref="D4:D56">
    <cfRule type="expression" dxfId="4" priority="4">
      <formula>_xlfn.IFS($D4&gt;1,$B4&lt;60)</formula>
    </cfRule>
  </conditionalFormatting>
  <conditionalFormatting sqref="E4:E43 E45:E56">
    <cfRule type="expression" dxfId="3" priority="1">
      <formula>_xlfn.IFS($E4&gt;1,$B4&lt;90)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F36C6-1154-49C3-9441-A6713B4BA070}">
  <dimension ref="A1:P86"/>
  <sheetViews>
    <sheetView zoomScale="78" zoomScaleNormal="78" workbookViewId="0">
      <pane ySplit="4" topLeftCell="A5" activePane="bottomLeft" state="frozen"/>
      <selection activeCell="G24" sqref="G24"/>
      <selection pane="bottomLeft" activeCell="C45" sqref="C45"/>
    </sheetView>
  </sheetViews>
  <sheetFormatPr defaultColWidth="9.1796875" defaultRowHeight="14.5" x14ac:dyDescent="0.35"/>
  <cols>
    <col min="1" max="1" width="47.453125" style="48" customWidth="1"/>
    <col min="2" max="2" width="24.453125" style="48" hidden="1" customWidth="1"/>
    <col min="3" max="3" width="12.7265625" style="47" customWidth="1"/>
    <col min="4" max="5" width="14.1796875" style="46" customWidth="1"/>
    <col min="6" max="6" width="12.1796875" style="45" customWidth="1"/>
    <col min="7" max="7" width="12.81640625" style="45" customWidth="1"/>
    <col min="8" max="8" width="14.81640625" style="44" customWidth="1"/>
    <col min="9" max="9" width="16.1796875" style="44" customWidth="1"/>
    <col min="10" max="11" width="11.7265625" style="43" customWidth="1"/>
    <col min="12" max="13" width="11.7265625" style="42" customWidth="1"/>
    <col min="14" max="15" width="11.7265625" style="41" customWidth="1"/>
    <col min="16" max="16384" width="9.1796875" style="40"/>
  </cols>
  <sheetData>
    <row r="1" spans="1:15" ht="21" x14ac:dyDescent="0.35">
      <c r="A1" s="79" t="str">
        <f>'Øko% Alle køkkener'!A1</f>
        <v>3. kvartal 25</v>
      </c>
      <c r="B1" s="88"/>
      <c r="C1" s="78" t="s">
        <v>62</v>
      </c>
      <c r="D1" s="77"/>
      <c r="E1" s="77"/>
      <c r="J1" s="76"/>
    </row>
    <row r="2" spans="1:15" ht="18" customHeight="1" thickBot="1" x14ac:dyDescent="0.4">
      <c r="A2" s="82" t="s">
        <v>33</v>
      </c>
      <c r="B2" s="89"/>
      <c r="C2" s="75"/>
      <c r="D2" s="12"/>
      <c r="E2" s="12"/>
      <c r="N2" s="74"/>
      <c r="O2" s="74"/>
    </row>
    <row r="3" spans="1:15" s="72" customFormat="1" ht="49" customHeight="1" thickTop="1" thickBot="1" x14ac:dyDescent="0.4">
      <c r="A3" s="73" t="s">
        <v>0</v>
      </c>
      <c r="B3" s="93"/>
      <c r="C3" s="91" t="s">
        <v>14</v>
      </c>
      <c r="D3" s="225" t="s">
        <v>2</v>
      </c>
      <c r="E3" s="226"/>
      <c r="F3" s="225" t="s">
        <v>173</v>
      </c>
      <c r="G3" s="226"/>
      <c r="H3" s="227" t="s">
        <v>1</v>
      </c>
      <c r="I3" s="228"/>
      <c r="J3" s="229" t="s">
        <v>83</v>
      </c>
      <c r="K3" s="230"/>
      <c r="L3" s="221" t="s">
        <v>49</v>
      </c>
      <c r="M3" s="222"/>
      <c r="N3" s="223" t="s">
        <v>84</v>
      </c>
      <c r="O3" s="224"/>
    </row>
    <row r="4" spans="1:15" ht="15.5" thickTop="1" thickBot="1" x14ac:dyDescent="0.4">
      <c r="A4" s="71" t="s">
        <v>0</v>
      </c>
      <c r="B4" s="92" t="s">
        <v>116</v>
      </c>
      <c r="C4" s="70" t="s">
        <v>14</v>
      </c>
      <c r="D4" s="63" t="s">
        <v>31</v>
      </c>
      <c r="E4" s="62" t="s">
        <v>32</v>
      </c>
      <c r="F4" s="69" t="s">
        <v>31</v>
      </c>
      <c r="G4" s="68" t="s">
        <v>32</v>
      </c>
      <c r="H4" s="67" t="s">
        <v>31</v>
      </c>
      <c r="I4" s="66" t="s">
        <v>32</v>
      </c>
      <c r="J4" s="65" t="s">
        <v>31</v>
      </c>
      <c r="K4" s="64" t="s">
        <v>32</v>
      </c>
      <c r="L4" s="63" t="s">
        <v>31</v>
      </c>
      <c r="M4" s="62" t="s">
        <v>32</v>
      </c>
      <c r="N4" s="63" t="s">
        <v>31</v>
      </c>
      <c r="O4" s="62" t="s">
        <v>32</v>
      </c>
    </row>
    <row r="5" spans="1:15" s="41" customFormat="1" ht="15" thickTop="1" x14ac:dyDescent="0.35">
      <c r="A5" s="57" t="str">
        <f>'Øko% Alle køkkener'!A5</f>
        <v>Anais Kulturcafé, Farum Kulturhus</v>
      </c>
      <c r="B5" s="59">
        <f>+VLOOKUP(A5,'Øko% Alle køkkener'!$A$5:$H$114,3,FALSE)</f>
        <v>0</v>
      </c>
      <c r="C5" s="58">
        <f>'Øko% Alle køkkener'!I5</f>
        <v>61.715218483174283</v>
      </c>
      <c r="D5" s="57">
        <f>'Øko% Alle køkkener'!J5</f>
        <v>491.5</v>
      </c>
      <c r="E5" s="57">
        <f>'Øko% Alle køkkener'!K5</f>
        <v>796.4</v>
      </c>
      <c r="F5" s="57">
        <f>'Øko% Alle køkkener'!L5</f>
        <v>0</v>
      </c>
      <c r="G5" s="57">
        <f>'Øko% Alle køkkener'!M5</f>
        <v>0</v>
      </c>
      <c r="H5" s="57">
        <f>'Øko% Alle køkkener'!N5</f>
        <v>491.5</v>
      </c>
      <c r="I5" s="57">
        <f>'Øko% Alle køkkener'!O5</f>
        <v>796.4</v>
      </c>
      <c r="J5" s="57">
        <f>'Øko% Alle køkkener'!P5</f>
        <v>0</v>
      </c>
      <c r="K5" s="57">
        <f>'Øko% Alle køkkener'!Q5</f>
        <v>0</v>
      </c>
      <c r="L5" s="57">
        <f>'Øko% Alle køkkener'!R5</f>
        <v>0</v>
      </c>
      <c r="M5" s="57">
        <f>'Øko% Alle køkkener'!S5</f>
        <v>0</v>
      </c>
      <c r="N5" s="57">
        <f>'Øko% Alle køkkener'!T5</f>
        <v>0</v>
      </c>
      <c r="O5" s="57">
        <f>'Øko% Alle køkkener'!U5</f>
        <v>0</v>
      </c>
    </row>
    <row r="6" spans="1:15" x14ac:dyDescent="0.35">
      <c r="A6" s="59" t="str">
        <f>'Øko% Alle køkkener'!A7</f>
        <v>Børnehuset Atlantis (Tidl. Børnehusene, Ryttergårdsvej)</v>
      </c>
      <c r="B6" s="59">
        <f>+VLOOKUP(A6,'Øko% Alle køkkener'!$A$5:$H$114,3,FALSE)</f>
        <v>0</v>
      </c>
      <c r="C6" s="60">
        <f>'Øko% Alle køkkener'!I7</f>
        <v>88.599906877743777</v>
      </c>
      <c r="D6" s="59">
        <f>'Øko% Alle køkkener'!J7</f>
        <v>1332.011</v>
      </c>
      <c r="E6" s="59">
        <f>'Øko% Alle køkkener'!K7</f>
        <v>1503.4</v>
      </c>
      <c r="F6" s="59">
        <f>'Øko% Alle køkkener'!L7</f>
        <v>0</v>
      </c>
      <c r="G6" s="59">
        <f>'Øko% Alle køkkener'!M7</f>
        <v>0</v>
      </c>
      <c r="H6" s="57">
        <f>'Øko% Alle køkkener'!N7</f>
        <v>1332.011</v>
      </c>
      <c r="I6" s="57">
        <f>'Øko% Alle køkkener'!O7</f>
        <v>1503.4</v>
      </c>
      <c r="J6" s="57">
        <f>'Øko% Alle køkkener'!P7</f>
        <v>0</v>
      </c>
      <c r="K6" s="57">
        <f>'Øko% Alle køkkener'!Q7</f>
        <v>0</v>
      </c>
      <c r="L6" s="57">
        <f>'Øko% Alle køkkener'!R7</f>
        <v>0</v>
      </c>
      <c r="M6" s="57">
        <f>'Øko% Alle køkkener'!S7</f>
        <v>0</v>
      </c>
      <c r="N6" s="57">
        <f>'Øko% Alle køkkener'!T7</f>
        <v>0</v>
      </c>
      <c r="O6" s="57">
        <f>'Øko% Alle køkkener'!U7</f>
        <v>0</v>
      </c>
    </row>
    <row r="7" spans="1:15" x14ac:dyDescent="0.35">
      <c r="A7" s="59" t="str">
        <f>'Øko% Alle køkkener'!A8</f>
        <v>Børnehuset Birkedal</v>
      </c>
      <c r="B7" s="59">
        <f>+VLOOKUP(A7,'Øko% Alle køkkener'!$A$5:$H$114,3,FALSE)</f>
        <v>1017028</v>
      </c>
      <c r="C7" s="60">
        <f>'Øko% Alle køkkener'!I8</f>
        <v>71.761389059663657</v>
      </c>
      <c r="D7" s="59">
        <f>'Øko% Alle køkkener'!J8</f>
        <v>986.32799999999997</v>
      </c>
      <c r="E7" s="59">
        <f>'Øko% Alle køkkener'!K8</f>
        <v>1374.4549999999999</v>
      </c>
      <c r="F7" s="59">
        <f>'Øko% Alle køkkener'!L8</f>
        <v>0</v>
      </c>
      <c r="G7" s="59">
        <f>'Øko% Alle køkkener'!M8</f>
        <v>0</v>
      </c>
      <c r="H7" s="57">
        <f>'Øko% Alle køkkener'!N8</f>
        <v>986.32799999999997</v>
      </c>
      <c r="I7" s="57">
        <f>'Øko% Alle køkkener'!O8</f>
        <v>1368.375</v>
      </c>
      <c r="J7" s="57">
        <f>'Øko% Alle køkkener'!P8</f>
        <v>0</v>
      </c>
      <c r="K7" s="57">
        <f>'Øko% Alle køkkener'!Q8</f>
        <v>0</v>
      </c>
      <c r="L7" s="57">
        <f>'Øko% Alle køkkener'!R8</f>
        <v>0</v>
      </c>
      <c r="M7" s="57">
        <f>'Øko% Alle køkkener'!S8</f>
        <v>6.08</v>
      </c>
      <c r="N7" s="57">
        <f>'Øko% Alle køkkener'!T8</f>
        <v>0</v>
      </c>
      <c r="O7" s="57">
        <f>'Øko% Alle køkkener'!U8</f>
        <v>0</v>
      </c>
    </row>
    <row r="8" spans="1:15" x14ac:dyDescent="0.35">
      <c r="A8" s="59" t="str">
        <f>'Øko% Alle køkkener'!A9</f>
        <v>Børnehuset Birkhøj</v>
      </c>
      <c r="B8" s="59">
        <f>+VLOOKUP(A8,'Øko% Alle køkkener'!$A$5:$H$114,3,FALSE)</f>
        <v>0</v>
      </c>
      <c r="C8" s="60">
        <f>'Øko% Alle køkkener'!I9</f>
        <v>80.091023852235736</v>
      </c>
      <c r="D8" s="59">
        <f>'Øko% Alle køkkener'!J9</f>
        <v>1084.905</v>
      </c>
      <c r="E8" s="59">
        <f>'Øko% Alle køkkener'!K9</f>
        <v>1354.59</v>
      </c>
      <c r="F8" s="59">
        <f>'Øko% Alle køkkener'!L9</f>
        <v>0</v>
      </c>
      <c r="G8" s="59">
        <f>'Øko% Alle køkkener'!M9</f>
        <v>0</v>
      </c>
      <c r="H8" s="57">
        <f>'Øko% Alle køkkener'!N9</f>
        <v>1084.905</v>
      </c>
      <c r="I8" s="57">
        <f>'Øko% Alle køkkener'!O9</f>
        <v>1354.59</v>
      </c>
      <c r="J8" s="57">
        <f>'Øko% Alle køkkener'!P9</f>
        <v>0</v>
      </c>
      <c r="K8" s="57">
        <f>'Øko% Alle køkkener'!Q9</f>
        <v>0</v>
      </c>
      <c r="L8" s="57">
        <f>'Øko% Alle køkkener'!R9</f>
        <v>0</v>
      </c>
      <c r="M8" s="57">
        <f>'Øko% Alle køkkener'!S9</f>
        <v>0</v>
      </c>
      <c r="N8" s="57">
        <f>'Øko% Alle køkkener'!T9</f>
        <v>0</v>
      </c>
      <c r="O8" s="57">
        <f>'Øko% Alle køkkener'!U9</f>
        <v>0</v>
      </c>
    </row>
    <row r="9" spans="1:15" x14ac:dyDescent="0.35">
      <c r="A9" s="59" t="str">
        <f>'Øko% Alle køkkener'!A11</f>
        <v>Børnehuset Bøgely</v>
      </c>
      <c r="B9" s="59">
        <f>+VLOOKUP(A9,'Øko% Alle køkkener'!$A$5:$H$114,3,FALSE)</f>
        <v>0</v>
      </c>
      <c r="C9" s="60">
        <f>'Øko% Alle køkkener'!I11</f>
        <v>98.749894246104162</v>
      </c>
      <c r="D9" s="59">
        <f>'Øko% Alle køkkener'!J11</f>
        <v>2346.0990000000002</v>
      </c>
      <c r="E9" s="59">
        <f>'Øko% Alle køkkener'!K11</f>
        <v>2375.799</v>
      </c>
      <c r="F9" s="59">
        <f>'Øko% Alle køkkener'!L11</f>
        <v>0</v>
      </c>
      <c r="G9" s="59">
        <f>'Øko% Alle køkkener'!M11</f>
        <v>0</v>
      </c>
      <c r="H9" s="57">
        <f>'Øko% Alle køkkener'!N11</f>
        <v>2345.1990000000001</v>
      </c>
      <c r="I9" s="57">
        <f>'Øko% Alle køkkener'!O11</f>
        <v>2346.0990000000002</v>
      </c>
      <c r="J9" s="57">
        <f>'Øko% Alle køkkener'!P11</f>
        <v>0</v>
      </c>
      <c r="K9" s="57">
        <f>'Øko% Alle køkkener'!Q11</f>
        <v>0</v>
      </c>
      <c r="L9" s="57">
        <f>'Øko% Alle køkkener'!R11</f>
        <v>0.9</v>
      </c>
      <c r="M9" s="57">
        <f>'Øko% Alle køkkener'!S11</f>
        <v>29.7</v>
      </c>
      <c r="N9" s="57">
        <f>'Øko% Alle køkkener'!T11</f>
        <v>0</v>
      </c>
      <c r="O9" s="57">
        <f>'Øko% Alle køkkener'!U11</f>
        <v>0</v>
      </c>
    </row>
    <row r="10" spans="1:15" x14ac:dyDescent="0.35">
      <c r="A10" s="59" t="str">
        <f>'Øko% Alle køkkener'!A12</f>
        <v>Børnehuset Egetræet</v>
      </c>
      <c r="B10" s="59">
        <f>+VLOOKUP(A10,'Øko% Alle køkkener'!$A$5:$H$114,3,FALSE)</f>
        <v>0</v>
      </c>
      <c r="C10" s="60">
        <f>'Øko% Alle køkkener'!I12</f>
        <v>81.917128149314337</v>
      </c>
      <c r="D10" s="59">
        <f>'Øko% Alle køkkener'!J12</f>
        <v>2083.3589999999999</v>
      </c>
      <c r="E10" s="59">
        <f>'Øko% Alle køkkener'!K12</f>
        <v>2543.252</v>
      </c>
      <c r="F10" s="59">
        <f>'Øko% Alle køkkener'!L12</f>
        <v>0</v>
      </c>
      <c r="G10" s="59">
        <f>'Øko% Alle køkkener'!M12</f>
        <v>0</v>
      </c>
      <c r="H10" s="57">
        <f>'Øko% Alle køkkener'!N12</f>
        <v>2083.3589999999999</v>
      </c>
      <c r="I10" s="57">
        <f>'Øko% Alle køkkener'!O12</f>
        <v>2543.252</v>
      </c>
      <c r="J10" s="57">
        <f>'Øko% Alle køkkener'!P12</f>
        <v>0</v>
      </c>
      <c r="K10" s="57">
        <f>'Øko% Alle køkkener'!Q12</f>
        <v>0</v>
      </c>
      <c r="L10" s="57">
        <f>'Øko% Alle køkkener'!R12</f>
        <v>0</v>
      </c>
      <c r="M10" s="57">
        <f>'Øko% Alle køkkener'!S12</f>
        <v>0</v>
      </c>
      <c r="N10" s="57">
        <f>'Øko% Alle køkkener'!T12</f>
        <v>0</v>
      </c>
      <c r="O10" s="57">
        <f>'Øko% Alle køkkener'!U12</f>
        <v>0</v>
      </c>
    </row>
    <row r="11" spans="1:15" x14ac:dyDescent="0.35">
      <c r="A11" s="59" t="str">
        <f>'Øko% Alle køkkener'!A13</f>
        <v>Børnehuset Kirke Værløse</v>
      </c>
      <c r="B11" s="59">
        <f>+VLOOKUP(A11,'Øko% Alle køkkener'!$A$5:$H$114,3,FALSE)</f>
        <v>0</v>
      </c>
      <c r="C11" s="60">
        <f>'Øko% Alle køkkener'!I13</f>
        <v>99.108830068210395</v>
      </c>
      <c r="D11" s="59">
        <f>'Øko% Alle køkkener'!J13</f>
        <v>1361.0129999999999</v>
      </c>
      <c r="E11" s="59">
        <f>'Øko% Alle køkkener'!K13</f>
        <v>1373.251</v>
      </c>
      <c r="F11" s="59">
        <f>'Øko% Alle køkkener'!L13</f>
        <v>0</v>
      </c>
      <c r="G11" s="59">
        <f>'Øko% Alle køkkener'!M13</f>
        <v>0</v>
      </c>
      <c r="H11" s="57">
        <f>'Øko% Alle køkkener'!N13</f>
        <v>1361.0129999999999</v>
      </c>
      <c r="I11" s="57">
        <f>'Øko% Alle køkkener'!O13</f>
        <v>1361.0129999999999</v>
      </c>
      <c r="J11" s="57">
        <f>'Øko% Alle køkkener'!P13</f>
        <v>0</v>
      </c>
      <c r="K11" s="57">
        <f>'Øko% Alle køkkener'!Q13</f>
        <v>0</v>
      </c>
      <c r="L11" s="57">
        <f>'Øko% Alle køkkener'!R13</f>
        <v>0</v>
      </c>
      <c r="M11" s="57">
        <f>'Øko% Alle køkkener'!S13</f>
        <v>12.238</v>
      </c>
      <c r="N11" s="57">
        <f>'Øko% Alle køkkener'!T13</f>
        <v>0</v>
      </c>
      <c r="O11" s="57">
        <f>'Øko% Alle køkkener'!U13</f>
        <v>0</v>
      </c>
    </row>
    <row r="12" spans="1:15" x14ac:dyDescent="0.35">
      <c r="A12" s="59" t="str">
        <f>'Øko% Alle køkkener'!A14</f>
        <v>Børnehuset Lyngholm nr. 15 (vuggest.)</v>
      </c>
      <c r="B12" s="59">
        <f>+VLOOKUP(A12,'Øko% Alle køkkener'!$A$5:$H$114,3,FALSE)</f>
        <v>0</v>
      </c>
      <c r="C12" s="60">
        <f>'Øko% Alle køkkener'!I14</f>
        <v>97.37542195404167</v>
      </c>
      <c r="D12" s="59">
        <f>'Øko% Alle køkkener'!J14</f>
        <v>509.142</v>
      </c>
      <c r="E12" s="59">
        <f>'Øko% Alle køkkener'!K14</f>
        <v>522.86500000000001</v>
      </c>
      <c r="F12" s="59">
        <f>'Øko% Alle køkkener'!L14</f>
        <v>0</v>
      </c>
      <c r="G12" s="59">
        <f>'Øko% Alle køkkener'!M14</f>
        <v>0</v>
      </c>
      <c r="H12" s="57">
        <f>'Øko% Alle køkkener'!N14</f>
        <v>506.142</v>
      </c>
      <c r="I12" s="57">
        <f>'Øko% Alle køkkener'!O14</f>
        <v>519.38499999999999</v>
      </c>
      <c r="J12" s="57">
        <f>'Øko% Alle køkkener'!P14</f>
        <v>0</v>
      </c>
      <c r="K12" s="57">
        <f>'Øko% Alle køkkener'!Q14</f>
        <v>0</v>
      </c>
      <c r="L12" s="57">
        <f>'Øko% Alle køkkener'!R14</f>
        <v>3</v>
      </c>
      <c r="M12" s="57">
        <f>'Øko% Alle køkkener'!S14</f>
        <v>3.48</v>
      </c>
      <c r="N12" s="57">
        <f>'Øko% Alle køkkener'!T14</f>
        <v>0</v>
      </c>
      <c r="O12" s="57">
        <f>'Øko% Alle køkkener'!U14</f>
        <v>0</v>
      </c>
    </row>
    <row r="13" spans="1:15" x14ac:dyDescent="0.35">
      <c r="A13" s="59" t="str">
        <f>'Øko% Alle køkkener'!A15</f>
        <v>Børnehuset Lyngholm nr. 17 (børneh.)</v>
      </c>
      <c r="B13" s="59">
        <f>+VLOOKUP(A13,'Øko% Alle køkkener'!$A$5:$H$114,3,FALSE)</f>
        <v>0</v>
      </c>
      <c r="C13" s="60">
        <f>'Øko% Alle køkkener'!I15</f>
        <v>94.027098851455364</v>
      </c>
      <c r="D13" s="59">
        <f>'Øko% Alle køkkener'!J15</f>
        <v>1443.221</v>
      </c>
      <c r="E13" s="59">
        <f>'Øko% Alle køkkener'!K15</f>
        <v>1534.8990000000001</v>
      </c>
      <c r="F13" s="59">
        <f>'Øko% Alle køkkener'!L15</f>
        <v>0</v>
      </c>
      <c r="G13" s="59">
        <f>'Øko% Alle køkkener'!M15</f>
        <v>0</v>
      </c>
      <c r="H13" s="57">
        <f>'Øko% Alle køkkener'!N15</f>
        <v>1440.221</v>
      </c>
      <c r="I13" s="57">
        <f>'Øko% Alle køkkener'!O15</f>
        <v>1531.4190000000001</v>
      </c>
      <c r="J13" s="57">
        <f>'Øko% Alle køkkener'!P15</f>
        <v>0</v>
      </c>
      <c r="K13" s="57">
        <f>'Øko% Alle køkkener'!Q15</f>
        <v>0</v>
      </c>
      <c r="L13" s="57">
        <f>'Øko% Alle køkkener'!R15</f>
        <v>3</v>
      </c>
      <c r="M13" s="57">
        <f>'Øko% Alle køkkener'!S15</f>
        <v>3.48</v>
      </c>
      <c r="N13" s="57">
        <f>'Øko% Alle køkkener'!T15</f>
        <v>0</v>
      </c>
      <c r="O13" s="57">
        <f>'Øko% Alle køkkener'!U15</f>
        <v>0</v>
      </c>
    </row>
    <row r="14" spans="1:15" x14ac:dyDescent="0.35">
      <c r="A14" s="59" t="str">
        <f>'Øko% Alle køkkener'!A16</f>
        <v>Børnehuset Mimers Brønd</v>
      </c>
      <c r="B14" s="59">
        <f>+VLOOKUP(A14,'Øko% Alle køkkener'!$A$5:$H$114,3,FALSE)</f>
        <v>2163076</v>
      </c>
      <c r="C14" s="60">
        <f>'Øko% Alle køkkener'!I16</f>
        <v>87.674739290945794</v>
      </c>
      <c r="D14" s="59">
        <f>'Øko% Alle køkkener'!J16</f>
        <v>1225.201</v>
      </c>
      <c r="E14" s="59">
        <f>'Øko% Alle køkkener'!K16</f>
        <v>1397.4390000000001</v>
      </c>
      <c r="F14" s="59">
        <f>'Øko% Alle køkkener'!L16</f>
        <v>0</v>
      </c>
      <c r="G14" s="59">
        <f>'Øko% Alle køkkener'!M16</f>
        <v>0</v>
      </c>
      <c r="H14" s="57">
        <f>'Øko% Alle køkkener'!N16</f>
        <v>1210.201</v>
      </c>
      <c r="I14" s="57">
        <f>'Øko% Alle køkkener'!O16</f>
        <v>1382.4390000000001</v>
      </c>
      <c r="J14" s="57">
        <f>'Øko% Alle køkkener'!P16</f>
        <v>0</v>
      </c>
      <c r="K14" s="57">
        <f>'Øko% Alle køkkener'!Q16</f>
        <v>0</v>
      </c>
      <c r="L14" s="57">
        <f>'Øko% Alle køkkener'!R16</f>
        <v>15</v>
      </c>
      <c r="M14" s="57">
        <f>'Øko% Alle køkkener'!S16</f>
        <v>15</v>
      </c>
      <c r="N14" s="57">
        <f>'Øko% Alle køkkener'!T16</f>
        <v>0</v>
      </c>
      <c r="O14" s="57">
        <f>'Øko% Alle køkkener'!U16</f>
        <v>0</v>
      </c>
    </row>
    <row r="15" spans="1:15" x14ac:dyDescent="0.35">
      <c r="A15" s="59" t="str">
        <f>'Øko% Alle køkkener'!A17</f>
        <v>Børnehuset Nørreskoven</v>
      </c>
      <c r="B15" s="59">
        <f>+VLOOKUP(A15,'Øko% Alle køkkener'!$A$5:$H$114,3,FALSE)</f>
        <v>1017035</v>
      </c>
      <c r="C15" s="60">
        <f>'Øko% Alle køkkener'!I17</f>
        <v>92.64906002309462</v>
      </c>
      <c r="D15" s="57">
        <f>'Øko% Alle køkkener'!J17</f>
        <v>1132.9090000000001</v>
      </c>
      <c r="E15" s="59">
        <f>'Øko% Alle køkkener'!K17</f>
        <v>1222.796</v>
      </c>
      <c r="F15" s="59">
        <f>'Øko% Alle køkkener'!L17</f>
        <v>0</v>
      </c>
      <c r="G15" s="59">
        <f>'Øko% Alle køkkener'!M17</f>
        <v>0</v>
      </c>
      <c r="H15" s="57">
        <f>'Øko% Alle køkkener'!N17</f>
        <v>1124.9090000000001</v>
      </c>
      <c r="I15" s="57">
        <f>'Øko% Alle køkkener'!O17</f>
        <v>1213.5540000000001</v>
      </c>
      <c r="J15" s="57">
        <f>'Øko% Alle køkkener'!P17</f>
        <v>0</v>
      </c>
      <c r="K15" s="57">
        <f>'Øko% Alle køkkener'!Q17</f>
        <v>0</v>
      </c>
      <c r="L15" s="57">
        <f>'Øko% Alle køkkener'!R17</f>
        <v>8</v>
      </c>
      <c r="M15" s="57">
        <f>'Øko% Alle køkkener'!S17</f>
        <v>9.2420000000000009</v>
      </c>
      <c r="N15" s="57">
        <f>'Øko% Alle køkkener'!T17</f>
        <v>0</v>
      </c>
      <c r="O15" s="57">
        <f>'Øko% Alle køkkener'!U17</f>
        <v>0</v>
      </c>
    </row>
    <row r="16" spans="1:15" x14ac:dyDescent="0.35">
      <c r="A16" s="59" t="str">
        <f>'Øko% Alle køkkener'!A18</f>
        <v>Børnehuset Siv</v>
      </c>
      <c r="B16" s="59"/>
      <c r="C16" s="60">
        <f>'Øko% Alle køkkener'!I18</f>
        <v>45.888582414402073</v>
      </c>
      <c r="D16" s="59">
        <f>'Øko% Alle køkkener'!J18</f>
        <v>155.387</v>
      </c>
      <c r="E16" s="59">
        <f>'Øko% Alle køkkener'!K18</f>
        <v>338.61799999999999</v>
      </c>
      <c r="F16" s="59">
        <f>'Øko% Alle køkkener'!L31</f>
        <v>0</v>
      </c>
      <c r="G16" s="59">
        <f>'Øko% Alle køkkener'!M31</f>
        <v>0</v>
      </c>
      <c r="H16" s="57" t="str">
        <f>'Øko% Alle køkkener'!N18</f>
        <v>0</v>
      </c>
      <c r="I16" s="57" t="str">
        <f>'Øko% Alle køkkener'!O18</f>
        <v>0</v>
      </c>
      <c r="J16" s="57">
        <f>'Øko% Alle køkkener'!P18</f>
        <v>0</v>
      </c>
      <c r="K16" s="57">
        <f>'Øko% Alle køkkener'!Q18</f>
        <v>0</v>
      </c>
      <c r="L16" s="57">
        <f>'Øko% Alle køkkener'!R18</f>
        <v>0</v>
      </c>
      <c r="M16" s="57">
        <f>'Øko% Alle køkkener'!S18</f>
        <v>0</v>
      </c>
      <c r="N16" s="57">
        <f>'Øko% Alle køkkener'!T18</f>
        <v>0</v>
      </c>
      <c r="O16" s="57">
        <f>'Øko% Alle køkkener'!U18</f>
        <v>0</v>
      </c>
    </row>
    <row r="17" spans="1:15" x14ac:dyDescent="0.35">
      <c r="A17" s="59" t="str">
        <f>'Øko% Alle køkkener'!A19</f>
        <v>Børnehuset Skovbakken</v>
      </c>
      <c r="B17" s="59">
        <f>+VLOOKUP(A17,'Øko% Alle køkkener'!$A$5:$H$114,3,FALSE)</f>
        <v>0</v>
      </c>
      <c r="C17" s="60">
        <f>'Øko% Alle køkkener'!I19</f>
        <v>90.553684739760158</v>
      </c>
      <c r="D17" s="59">
        <f>'Øko% Alle køkkener'!J19</f>
        <v>983.39400000000001</v>
      </c>
      <c r="E17" s="59">
        <f>'Øko% Alle køkkener'!K19</f>
        <v>1085.979</v>
      </c>
      <c r="F17" s="59">
        <f>'Øko% Alle køkkener'!L32</f>
        <v>0</v>
      </c>
      <c r="G17" s="59">
        <f>'Øko% Alle køkkener'!M32</f>
        <v>0</v>
      </c>
      <c r="H17" s="57">
        <f>'Øko% Alle køkkener'!N19</f>
        <v>983.39400000000001</v>
      </c>
      <c r="I17" s="57">
        <f>'Øko% Alle køkkener'!O19</f>
        <v>1085.979</v>
      </c>
      <c r="J17" s="57">
        <f>'Øko% Alle køkkener'!P19</f>
        <v>0</v>
      </c>
      <c r="K17" s="57">
        <f>'Øko% Alle køkkener'!Q19</f>
        <v>0</v>
      </c>
      <c r="L17" s="57">
        <f>'Øko% Alle køkkener'!R19</f>
        <v>0</v>
      </c>
      <c r="M17" s="57">
        <f>'Øko% Alle køkkener'!S19</f>
        <v>0</v>
      </c>
      <c r="N17" s="57">
        <f>'Øko% Alle køkkener'!T19</f>
        <v>0</v>
      </c>
      <c r="O17" s="57">
        <f>'Øko% Alle køkkener'!U19</f>
        <v>0</v>
      </c>
    </row>
    <row r="18" spans="1:15" x14ac:dyDescent="0.35">
      <c r="A18" s="59" t="str">
        <f>'Øko% Alle køkkener'!A20</f>
        <v>Børnehuset Solbjerg</v>
      </c>
      <c r="B18" s="59">
        <f>+VLOOKUP(A18,'Øko% Alle køkkener'!$A$5:$H$114,3,FALSE)</f>
        <v>1017038</v>
      </c>
      <c r="C18" s="60">
        <f>'Øko% Alle køkkener'!I20</f>
        <v>99.813018994103089</v>
      </c>
      <c r="D18" s="59">
        <f>'Øko% Alle køkkener'!J20</f>
        <v>1638.808</v>
      </c>
      <c r="E18" s="59">
        <f>'Øko% Alle køkkener'!K20</f>
        <v>1641.8779999999999</v>
      </c>
      <c r="F18" s="59">
        <f>'Øko% Alle køkkener'!L20</f>
        <v>8.23</v>
      </c>
      <c r="G18" s="59">
        <f>'Øko% Alle køkkener'!M20</f>
        <v>8.23</v>
      </c>
      <c r="H18" s="57">
        <f>'Øko% Alle køkkener'!N20</f>
        <v>1618.434</v>
      </c>
      <c r="I18" s="57">
        <f>'Øko% Alle køkkener'!O20</f>
        <v>1621.5039999999999</v>
      </c>
      <c r="J18" s="57">
        <f>'Øko% Alle køkkener'!P20</f>
        <v>0</v>
      </c>
      <c r="K18" s="57">
        <f>'Øko% Alle køkkener'!Q20</f>
        <v>0</v>
      </c>
      <c r="L18" s="57">
        <f>'Øko% Alle køkkener'!R20</f>
        <v>12.144</v>
      </c>
      <c r="M18" s="57">
        <f>'Øko% Alle køkkener'!S20</f>
        <v>12.144</v>
      </c>
      <c r="N18" s="57">
        <f>'Øko% Alle køkkener'!T20</f>
        <v>0</v>
      </c>
      <c r="O18" s="57">
        <f>'Øko% Alle køkkener'!U20</f>
        <v>0</v>
      </c>
    </row>
    <row r="19" spans="1:15" x14ac:dyDescent="0.35">
      <c r="A19" s="59" t="str">
        <f>'Øko% Alle køkkener'!A21</f>
        <v>Børnehuset Søndersø</v>
      </c>
      <c r="B19" s="59">
        <f>+VLOOKUP(A19,'Øko% Alle køkkener'!$A$5:$H$114,3,FALSE)</f>
        <v>0</v>
      </c>
      <c r="C19" s="60">
        <f>'Øko% Alle køkkener'!I21</f>
        <v>86.078895447237585</v>
      </c>
      <c r="D19" s="59">
        <f>'Øko% Alle køkkener'!J21</f>
        <v>2295.2860000000001</v>
      </c>
      <c r="E19" s="59">
        <f>'Øko% Alle køkkener'!K21</f>
        <v>2666.491</v>
      </c>
      <c r="F19" s="59">
        <f>'Øko% Alle køkkener'!L21</f>
        <v>0</v>
      </c>
      <c r="G19" s="59">
        <f>'Øko% Alle køkkener'!M21</f>
        <v>0</v>
      </c>
      <c r="H19" s="57">
        <f>'Øko% Alle køkkener'!N21</f>
        <v>2294.2860000000001</v>
      </c>
      <c r="I19" s="57">
        <f>'Øko% Alle køkkener'!O21</f>
        <v>2604.491</v>
      </c>
      <c r="J19" s="57">
        <f>'Øko% Alle køkkener'!P21</f>
        <v>0</v>
      </c>
      <c r="K19" s="57">
        <f>'Øko% Alle køkkener'!Q21</f>
        <v>0</v>
      </c>
      <c r="L19" s="57">
        <f>'Øko% Alle køkkener'!R22</f>
        <v>1</v>
      </c>
      <c r="M19" s="57">
        <f>'Øko% Alle køkkener'!S21</f>
        <v>62</v>
      </c>
      <c r="N19" s="57">
        <f>'Øko% Alle køkkener'!T21</f>
        <v>0</v>
      </c>
      <c r="O19" s="57">
        <f>'Øko% Alle køkkener'!U21</f>
        <v>0</v>
      </c>
    </row>
    <row r="20" spans="1:15" x14ac:dyDescent="0.35">
      <c r="A20" s="59" t="str">
        <f>'Øko% Alle køkkener'!A22</f>
        <v>Børnehuset Vingesus</v>
      </c>
      <c r="B20" s="59">
        <f>+VLOOKUP(A20,'Øko% Alle køkkener'!$A$5:$H$114,3,FALSE)</f>
        <v>0</v>
      </c>
      <c r="C20" s="60">
        <f>'Øko% Alle køkkener'!I22</f>
        <v>97.648590526976946</v>
      </c>
      <c r="D20" s="59">
        <f>'Øko% Alle køkkener'!J22</f>
        <v>2817.0720000000001</v>
      </c>
      <c r="E20" s="59">
        <f>'Øko% Alle køkkener'!K22</f>
        <v>2884.9079999999999</v>
      </c>
      <c r="F20" s="59">
        <f>'Øko% Alle køkkener'!L22</f>
        <v>0</v>
      </c>
      <c r="G20" s="59">
        <f>'Øko% Alle køkkener'!M22</f>
        <v>0</v>
      </c>
      <c r="H20" s="57">
        <f>'Øko% Alle køkkener'!N22</f>
        <v>2817.0720000000001</v>
      </c>
      <c r="I20" s="57">
        <f>'Øko% Alle køkkener'!O22</f>
        <v>2883.9079999999999</v>
      </c>
      <c r="J20" s="57">
        <f>'Øko% Alle køkkener'!P22</f>
        <v>0</v>
      </c>
      <c r="K20" s="57">
        <f>'Øko% Alle køkkener'!Q22</f>
        <v>0</v>
      </c>
      <c r="L20" s="57">
        <f>'Øko% Alle køkkener'!R23</f>
        <v>0</v>
      </c>
      <c r="M20" s="57">
        <f>'Øko% Alle køkkener'!S22</f>
        <v>1</v>
      </c>
      <c r="N20" s="57">
        <f>'Øko% Alle køkkener'!T22</f>
        <v>0</v>
      </c>
      <c r="O20" s="57">
        <f>'Øko% Alle køkkener'!U22</f>
        <v>0</v>
      </c>
    </row>
    <row r="21" spans="1:15" x14ac:dyDescent="0.35">
      <c r="A21" s="57" t="str">
        <f>'Øko% Alle køkkener'!A23</f>
        <v>Cassiopeia, Galaksen. Opgøres af Cassiopeia</v>
      </c>
      <c r="B21" s="59">
        <f>+VLOOKUP(A21,'Øko% Alle køkkener'!$A$5:$H$114,3,FALSE)</f>
        <v>2243447</v>
      </c>
      <c r="C21" s="58">
        <f>'Øko% Alle køkkener'!I23</f>
        <v>88.186293070806514</v>
      </c>
      <c r="D21" s="57">
        <f>'Øko% Alle køkkener'!J23</f>
        <v>93.16</v>
      </c>
      <c r="E21" s="57">
        <f>'Øko% Alle køkkener'!K23</f>
        <v>105.64</v>
      </c>
      <c r="F21" s="57">
        <f>'Øko% Alle køkkener'!L23</f>
        <v>93.16</v>
      </c>
      <c r="G21" s="57">
        <f>'Øko% Alle køkkener'!M23</f>
        <v>94.933999999999997</v>
      </c>
      <c r="H21" s="57">
        <f>'Øko% Alle køkkener'!N23</f>
        <v>0</v>
      </c>
      <c r="I21" s="57">
        <f>'Øko% Alle køkkener'!O23</f>
        <v>10.706</v>
      </c>
      <c r="J21" s="57">
        <f>'Øko% Alle køkkener'!P23</f>
        <v>0</v>
      </c>
      <c r="K21" s="57">
        <f>'Øko% Alle køkkener'!Q23</f>
        <v>0</v>
      </c>
      <c r="L21" s="57">
        <f>'Øko% Alle køkkener'!R23</f>
        <v>0</v>
      </c>
      <c r="M21" s="57">
        <f>'Øko% Alle køkkener'!S23</f>
        <v>0</v>
      </c>
      <c r="N21" s="57">
        <f>'Øko% Alle køkkener'!T23</f>
        <v>0</v>
      </c>
      <c r="O21" s="57">
        <f>'Øko% Alle køkkener'!U23</f>
        <v>0</v>
      </c>
    </row>
    <row r="22" spans="1:15" x14ac:dyDescent="0.35">
      <c r="A22" s="61" t="str">
        <f>'Øko% Alle køkkener'!A25</f>
        <v>Dalgårdens Børnehus</v>
      </c>
      <c r="B22" s="59">
        <f>+VLOOKUP(A22,'Øko% Alle køkkener'!$A$5:$H$114,3,FALSE)</f>
        <v>1017649</v>
      </c>
      <c r="C22" s="61">
        <f>'Øko% Alle køkkener'!I25</f>
        <v>99.399705107531418</v>
      </c>
      <c r="D22" s="61">
        <f>'Øko% Alle køkkener'!J25</f>
        <v>1295.701</v>
      </c>
      <c r="E22" s="61">
        <f>'Øko% Alle køkkener'!K25</f>
        <v>1303.5260000000001</v>
      </c>
      <c r="F22" s="61">
        <f>'Øko% Alle køkkener'!L25</f>
        <v>0</v>
      </c>
      <c r="G22" s="61">
        <f>'Øko% Alle køkkener'!M25</f>
        <v>0</v>
      </c>
      <c r="H22" s="57">
        <f>'Øko% Alle køkkener'!N25</f>
        <v>1295.701</v>
      </c>
      <c r="I22" s="57">
        <f>'Øko% Alle køkkener'!O25</f>
        <v>1303.5260000000001</v>
      </c>
      <c r="J22" s="57">
        <f>'Øko% Alle køkkener'!P25</f>
        <v>0</v>
      </c>
      <c r="K22" s="57">
        <f>'Øko% Alle køkkener'!Q25</f>
        <v>0</v>
      </c>
      <c r="L22" s="57">
        <f>'Øko% Alle køkkener'!R25</f>
        <v>0</v>
      </c>
      <c r="M22" s="57">
        <f>'Øko% Alle køkkener'!S25</f>
        <v>0</v>
      </c>
      <c r="N22" s="57">
        <f>'Øko% Alle køkkener'!T25</f>
        <v>0</v>
      </c>
      <c r="O22" s="57">
        <f>'Øko% Alle køkkener'!U25</f>
        <v>0</v>
      </c>
    </row>
    <row r="23" spans="1:15" x14ac:dyDescent="0.35">
      <c r="A23" s="57" t="str">
        <f>'Øko% Alle køkkener'!A28</f>
        <v>Egeskolen, kantine</v>
      </c>
      <c r="B23" s="59">
        <f>+VLOOKUP(A23,'Øko% Alle køkkener'!$A$5:$H$114,3,FALSE)</f>
        <v>1192523</v>
      </c>
      <c r="C23" s="58">
        <f>'Øko% Alle køkkener'!I28</f>
        <v>4.1172005981240654</v>
      </c>
      <c r="D23" s="57">
        <f>'Øko% Alle køkkener'!J28</f>
        <v>7.2690000000000001</v>
      </c>
      <c r="E23" s="57">
        <f>'Øko% Alle køkkener'!K28</f>
        <v>176.55199999999999</v>
      </c>
      <c r="F23" s="57">
        <f>'Øko% Alle køkkener'!L28</f>
        <v>7.2690000000000001</v>
      </c>
      <c r="G23" s="57">
        <f>'Øko% Alle køkkener'!M28</f>
        <v>176.55199999999999</v>
      </c>
      <c r="H23" s="57" t="str">
        <f>'Øko% Alle køkkener'!N28</f>
        <v>0</v>
      </c>
      <c r="I23" s="57" t="str">
        <f>'Øko% Alle køkkener'!O28</f>
        <v>0</v>
      </c>
      <c r="J23" s="57">
        <f>'Øko% Alle køkkener'!P28</f>
        <v>0</v>
      </c>
      <c r="K23" s="57">
        <f>'Øko% Alle køkkener'!Q28</f>
        <v>0</v>
      </c>
      <c r="L23" s="57">
        <f>'Øko% Alle køkkener'!R28</f>
        <v>0</v>
      </c>
      <c r="M23" s="57">
        <f>'Øko% Alle køkkener'!S28</f>
        <v>0</v>
      </c>
      <c r="N23" s="57">
        <f>'Øko% Alle køkkener'!T28</f>
        <v>0</v>
      </c>
      <c r="O23" s="57">
        <f>'Øko% Alle køkkener'!U28</f>
        <v>0</v>
      </c>
    </row>
    <row r="24" spans="1:15" x14ac:dyDescent="0.35">
      <c r="A24" s="59" t="str">
        <f>'Øko% Alle køkkener'!A32</f>
        <v>Farum Nordby Børnehus</v>
      </c>
      <c r="B24" s="59">
        <f>+VLOOKUP(A24,'Øko% Alle køkkener'!$A$5:$H$114,3,FALSE)</f>
        <v>2248847</v>
      </c>
      <c r="C24" s="60">
        <f>'Øko% Alle køkkener'!I32</f>
        <v>81.336279554356437</v>
      </c>
      <c r="D24" s="59">
        <f>'Øko% Alle køkkener'!J32</f>
        <v>1324.0309999999999</v>
      </c>
      <c r="E24" s="59">
        <f>'Øko% Alle køkkener'!K32</f>
        <v>1627.848</v>
      </c>
      <c r="F24" s="59">
        <f>'Øko% Alle køkkener'!L32</f>
        <v>0</v>
      </c>
      <c r="G24" s="59">
        <f>'Øko% Alle køkkener'!M32</f>
        <v>0</v>
      </c>
      <c r="H24" s="57">
        <f>'Øko% Alle køkkener'!N32</f>
        <v>1309.0309999999999</v>
      </c>
      <c r="I24" s="57">
        <f>'Øko% Alle køkkener'!O32</f>
        <v>1612.47</v>
      </c>
      <c r="J24" s="57">
        <f>'Øko% Alle køkkener'!P32</f>
        <v>0</v>
      </c>
      <c r="K24" s="57">
        <f>'Øko% Alle køkkener'!Q32</f>
        <v>0</v>
      </c>
      <c r="L24" s="57">
        <f>'Øko% Alle køkkener'!R32</f>
        <v>15</v>
      </c>
      <c r="M24" s="57">
        <f>'Øko% Alle køkkener'!S32</f>
        <v>15.378</v>
      </c>
      <c r="N24" s="57">
        <f>'Øko% Alle køkkener'!T32</f>
        <v>0</v>
      </c>
      <c r="O24" s="57">
        <f>'Øko% Alle køkkener'!U32</f>
        <v>0</v>
      </c>
    </row>
    <row r="25" spans="1:15" x14ac:dyDescent="0.35">
      <c r="A25" s="57" t="str">
        <f>'Øko% Alle køkkener'!A33</f>
        <v>Farum Vejgaard, BH/VS</v>
      </c>
      <c r="B25" s="59">
        <f>+VLOOKUP(A25,'Øko% Alle køkkener'!$A$5:$H$114,3,FALSE)</f>
        <v>0</v>
      </c>
      <c r="C25" s="57">
        <f>'Øko% Alle køkkener'!I33</f>
        <v>87.4551588572875</v>
      </c>
      <c r="D25" s="57">
        <f>'Øko% Alle køkkener'!J33</f>
        <v>663.35699999999997</v>
      </c>
      <c r="E25" s="57">
        <f>'Øko% Alle køkkener'!K33</f>
        <v>758.51099999999997</v>
      </c>
      <c r="F25" s="57">
        <f>'Øko% Alle køkkener'!L33</f>
        <v>0</v>
      </c>
      <c r="G25" s="57">
        <f>'Øko% Alle køkkener'!M33</f>
        <v>0</v>
      </c>
      <c r="H25" s="57">
        <f>'Øko% Alle køkkener'!N33</f>
        <v>663.35699999999997</v>
      </c>
      <c r="I25" s="57">
        <f>'Øko% Alle køkkener'!O33</f>
        <v>758.51099999999997</v>
      </c>
      <c r="J25" s="57">
        <f>'Øko% Alle køkkener'!P33</f>
        <v>0</v>
      </c>
      <c r="K25" s="57">
        <f>'Øko% Alle køkkener'!Q33</f>
        <v>0</v>
      </c>
      <c r="L25" s="57">
        <f>'Øko% Alle køkkener'!R33</f>
        <v>0</v>
      </c>
      <c r="M25" s="57">
        <f>'Øko% Alle køkkener'!S33</f>
        <v>0</v>
      </c>
      <c r="N25" s="57">
        <f>'Øko% Alle køkkener'!T33</f>
        <v>0</v>
      </c>
      <c r="O25" s="57">
        <f>'Øko% Alle køkkener'!U33</f>
        <v>0</v>
      </c>
    </row>
    <row r="26" spans="1:15" x14ac:dyDescent="0.35">
      <c r="A26" s="57" t="str">
        <f>+'Øko% Alle køkkener'!A34</f>
        <v>Farumsødal</v>
      </c>
      <c r="B26" s="59">
        <f>+VLOOKUP(A26,'Øko% Alle køkkener'!$A$5:$H$114,3,FALSE)</f>
        <v>2164133</v>
      </c>
      <c r="C26" s="58">
        <f>'Øko% Alle køkkener'!I34</f>
        <v>90.859530545652362</v>
      </c>
      <c r="D26" s="57">
        <f>'Øko% Alle køkkener'!J34</f>
        <v>1599.9799999999998</v>
      </c>
      <c r="E26" s="57">
        <f>'Øko% Alle køkkener'!K34</f>
        <v>1760.9379999999999</v>
      </c>
      <c r="F26" s="57">
        <f>'Øko% Alle køkkener'!L34</f>
        <v>572.91</v>
      </c>
      <c r="G26" s="57">
        <f>'Øko% Alle køkkener'!M34</f>
        <v>633.46600000000001</v>
      </c>
      <c r="H26" s="57">
        <f>'Øko% Alle køkkener'!N34</f>
        <v>1014.27</v>
      </c>
      <c r="I26" s="57">
        <f>'Øko% Alle køkkener'!O34</f>
        <v>1114.3119999999999</v>
      </c>
      <c r="J26" s="57">
        <f>'Øko% Alle køkkener'!P34</f>
        <v>0</v>
      </c>
      <c r="K26" s="57">
        <f>'Øko% Alle køkkener'!Q34</f>
        <v>0</v>
      </c>
      <c r="L26" s="57">
        <f>'Øko% Alle køkkener'!R34</f>
        <v>12.8</v>
      </c>
      <c r="M26" s="57">
        <f>'Øko% Alle køkkener'!S34</f>
        <v>13.16</v>
      </c>
      <c r="N26" s="57">
        <f>'Øko% Alle køkkener'!T34</f>
        <v>0</v>
      </c>
      <c r="O26" s="57">
        <f>'Øko% Alle køkkener'!U34</f>
        <v>0</v>
      </c>
    </row>
    <row r="27" spans="1:15" x14ac:dyDescent="0.35">
      <c r="A27" s="57" t="str">
        <f>+'Øko% Alle køkkener'!A41</f>
        <v>Furesø Skole- og Familiehus (inkl. Rådgivning, vejledn. og støtte)</v>
      </c>
      <c r="B27" s="59">
        <f>+VLOOKUP(A27,'Øko% Alle køkkener'!$A$5:$H$114,3,FALSE)</f>
        <v>1066946</v>
      </c>
      <c r="C27" s="58">
        <f>'Øko% Alle køkkener'!I41</f>
        <v>77.900572578461833</v>
      </c>
      <c r="D27" s="57">
        <f>'Øko% Alle køkkener'!J41</f>
        <v>192.786</v>
      </c>
      <c r="E27" s="57">
        <f>'Øko% Alle køkkener'!K41</f>
        <v>247.477</v>
      </c>
      <c r="F27" s="57">
        <f>'Øko% Alle køkkener'!L41</f>
        <v>170.68600000000001</v>
      </c>
      <c r="G27" s="57">
        <f>'Øko% Alle køkkener'!M41</f>
        <v>225.37700000000001</v>
      </c>
      <c r="H27" s="57" t="str">
        <f>'Øko% Alle køkkener'!N41</f>
        <v>0</v>
      </c>
      <c r="I27" s="57" t="str">
        <f>'Øko% Alle køkkener'!O41</f>
        <v>0</v>
      </c>
      <c r="J27" s="57">
        <f>'Øko% Alle køkkener'!P41</f>
        <v>0</v>
      </c>
      <c r="K27" s="57">
        <f>'Øko% Alle køkkener'!Q41</f>
        <v>0</v>
      </c>
      <c r="L27" s="57">
        <f>'Øko% Alle køkkener'!R41</f>
        <v>22.1</v>
      </c>
      <c r="M27" s="57">
        <f>'Øko% Alle køkkener'!S41</f>
        <v>22.1</v>
      </c>
      <c r="N27" s="57">
        <f>'Øko% Alle køkkener'!T41</f>
        <v>0</v>
      </c>
      <c r="O27" s="57">
        <f>'Øko% Alle køkkener'!U41</f>
        <v>0</v>
      </c>
    </row>
    <row r="28" spans="1:15" ht="17.5" customHeight="1" x14ac:dyDescent="0.35">
      <c r="A28" s="57" t="str">
        <f>'Øko% Alle køkkener'!A46</f>
        <v>Hareskov Børnehus</v>
      </c>
      <c r="B28" s="59">
        <f>+VLOOKUP(A28,'Øko% Alle køkkener'!$A$5:$H$114,3,FALSE)</f>
        <v>0</v>
      </c>
      <c r="C28" s="58">
        <f>'Øko% Alle køkkener'!I46</f>
        <v>98.732599381635239</v>
      </c>
      <c r="D28" s="57">
        <f>'Øko% Alle køkkener'!J46</f>
        <v>1558.0329999999999</v>
      </c>
      <c r="E28" s="57">
        <f>'Øko% Alle køkkener'!K46</f>
        <v>1578.0329999999999</v>
      </c>
      <c r="F28" s="57">
        <f>'Øko% Alle køkkener'!L46</f>
        <v>0</v>
      </c>
      <c r="G28" s="57">
        <f>'Øko% Alle køkkener'!M46</f>
        <v>0</v>
      </c>
      <c r="H28" s="57">
        <f>'Øko% Alle køkkener'!N46</f>
        <v>1558.0329999999999</v>
      </c>
      <c r="I28" s="57">
        <f>'Øko% Alle køkkener'!O46</f>
        <v>1578.0329999999999</v>
      </c>
      <c r="J28" s="57">
        <f>'Øko% Alle køkkener'!P46</f>
        <v>0</v>
      </c>
      <c r="K28" s="57">
        <f>'Øko% Alle køkkener'!Q46</f>
        <v>0</v>
      </c>
      <c r="L28" s="57">
        <f>'Øko% Alle køkkener'!R46</f>
        <v>0</v>
      </c>
      <c r="M28" s="57">
        <f>'Øko% Alle køkkener'!S46</f>
        <v>0</v>
      </c>
      <c r="N28" s="57">
        <f>'Øko% Alle køkkener'!T46</f>
        <v>0</v>
      </c>
      <c r="O28" s="57">
        <f>'Øko% Alle køkkener'!U46</f>
        <v>0</v>
      </c>
    </row>
    <row r="29" spans="1:15" ht="17.5" customHeight="1" x14ac:dyDescent="0.35">
      <c r="A29" s="57" t="str">
        <f>+'Øko% Alle køkkener'!A48</f>
        <v>Hareskov FFO - Gasværket, klub</v>
      </c>
      <c r="B29" s="59">
        <f>+VLOOKUP(A29,'Øko% Alle køkkener'!$A$5:$H$114,3,FALSE)</f>
        <v>1128479</v>
      </c>
      <c r="C29" s="58">
        <f>'Øko% Alle køkkener'!I48</f>
        <v>39.764105309912196</v>
      </c>
      <c r="D29" s="58">
        <f>'Øko% Alle køkkener'!J48</f>
        <v>1045.6559999999999</v>
      </c>
      <c r="E29" s="58">
        <f>'Øko% Alle køkkener'!K48</f>
        <v>2629.6480000000001</v>
      </c>
      <c r="F29" s="58">
        <f>'Øko% Alle køkkener'!L48</f>
        <v>197.352</v>
      </c>
      <c r="G29" s="58">
        <f>'Øko% Alle køkkener'!M48</f>
        <v>975.55</v>
      </c>
      <c r="H29" s="58">
        <f>'Øko% Alle køkkener'!N48</f>
        <v>848.30399999999997</v>
      </c>
      <c r="I29" s="58">
        <f>'Øko% Alle køkkener'!O48</f>
        <v>1654.098</v>
      </c>
      <c r="J29" s="58">
        <f>'Øko% Alle køkkener'!P48</f>
        <v>0</v>
      </c>
      <c r="K29" s="58">
        <f>'Øko% Alle køkkener'!Q48</f>
        <v>0</v>
      </c>
      <c r="L29" s="58">
        <f>'Øko% Alle køkkener'!R48</f>
        <v>0</v>
      </c>
      <c r="M29" s="58">
        <f>'Øko% Alle køkkener'!S48</f>
        <v>0</v>
      </c>
      <c r="N29" s="58">
        <f>'Øko% Alle køkkener'!T48</f>
        <v>0</v>
      </c>
      <c r="O29" s="58">
        <f>'Øko% Alle køkkener'!U48</f>
        <v>0</v>
      </c>
    </row>
    <row r="30" spans="1:15" ht="17.5" customHeight="1" x14ac:dyDescent="0.35">
      <c r="A30" s="57" t="str">
        <f>+'Øko% Alle køkkener'!A57</f>
        <v>Krudthuset</v>
      </c>
      <c r="B30" s="59">
        <f>+VLOOKUP(A30,'Øko% Alle køkkener'!$A$5:$H$114,3,FALSE)</f>
        <v>0</v>
      </c>
      <c r="C30" s="58">
        <f>'Øko% Alle køkkener'!I57</f>
        <v>99.464310041986209</v>
      </c>
      <c r="D30" s="58">
        <f>'Øko% Alle køkkener'!J57</f>
        <v>1774.126</v>
      </c>
      <c r="E30" s="58">
        <f>'Øko% Alle køkkener'!K57</f>
        <v>1783.681</v>
      </c>
      <c r="F30" s="58">
        <f>'Øko% Alle køkkener'!L57</f>
        <v>0</v>
      </c>
      <c r="G30" s="58">
        <f>'Øko% Alle køkkener'!M57</f>
        <v>0</v>
      </c>
      <c r="H30" s="58">
        <f>'Øko% Alle køkkener'!N57</f>
        <v>1774.126</v>
      </c>
      <c r="I30" s="58">
        <f>'Øko% Alle køkkener'!O57</f>
        <v>1783.681</v>
      </c>
      <c r="J30" s="58">
        <f>'Øko% Alle køkkener'!P57</f>
        <v>0</v>
      </c>
      <c r="K30" s="58">
        <f>'Øko% Alle køkkener'!Q57</f>
        <v>0</v>
      </c>
      <c r="L30" s="58">
        <f>'Øko% Alle køkkener'!R57</f>
        <v>0</v>
      </c>
      <c r="M30" s="58">
        <f>'Øko% Alle køkkener'!S57</f>
        <v>0</v>
      </c>
      <c r="N30" s="58">
        <f>'Øko% Alle køkkener'!T57</f>
        <v>0</v>
      </c>
      <c r="O30" s="58">
        <f>'Øko% Alle køkkener'!U57</f>
        <v>0</v>
      </c>
    </row>
    <row r="31" spans="1:15" x14ac:dyDescent="0.35">
      <c r="A31" s="57" t="str">
        <f>'Øko% Alle køkkener'!A60</f>
        <v>Lille Værløse Skole, kantinen</v>
      </c>
      <c r="B31" s="59">
        <f>+VLOOKUP(A31,'Øko% Alle køkkener'!$A$5:$H$114,3,FALSE)</f>
        <v>0</v>
      </c>
      <c r="C31" s="58">
        <f>'Øko% Alle køkkener'!I60</f>
        <v>25.334436844790073</v>
      </c>
      <c r="D31" s="57">
        <f>'Øko% Alle køkkener'!J60</f>
        <v>486.71</v>
      </c>
      <c r="E31" s="57">
        <f>'Øko% Alle køkkener'!K60</f>
        <v>1921.14</v>
      </c>
      <c r="F31" s="57">
        <f>'Øko% Alle køkkener'!L60</f>
        <v>0</v>
      </c>
      <c r="G31" s="57">
        <f>'Øko% Alle køkkener'!M60</f>
        <v>0</v>
      </c>
      <c r="H31" s="57">
        <f>'Øko% Alle køkkener'!N60</f>
        <v>486.71</v>
      </c>
      <c r="I31" s="57">
        <f>'Øko% Alle køkkener'!O60</f>
        <v>1921.14</v>
      </c>
      <c r="J31" s="57">
        <f>'Øko% Alle køkkener'!P60</f>
        <v>0</v>
      </c>
      <c r="K31" s="57">
        <f>'Øko% Alle køkkener'!Q60</f>
        <v>0</v>
      </c>
      <c r="L31" s="57">
        <f>'Øko% Alle køkkener'!R60</f>
        <v>0</v>
      </c>
      <c r="M31" s="57">
        <f>'Øko% Alle køkkener'!S60</f>
        <v>0</v>
      </c>
      <c r="N31" s="57">
        <f>'Øko% Alle køkkener'!T60</f>
        <v>0</v>
      </c>
      <c r="O31" s="57">
        <f>'Øko% Alle køkkener'!U60</f>
        <v>0</v>
      </c>
    </row>
    <row r="32" spans="1:15" x14ac:dyDescent="0.35">
      <c r="A32" s="57" t="str">
        <f>'Øko% Alle køkkener'!A65</f>
        <v>Lillestjernen FFO</v>
      </c>
      <c r="B32" s="59">
        <f>+VLOOKUP(A32,'Øko% Alle køkkener'!$A$5:$H$114,3,FALSE)</f>
        <v>2162953</v>
      </c>
      <c r="C32" s="58">
        <f>'Øko% Alle køkkener'!I65</f>
        <v>85.311495998202773</v>
      </c>
      <c r="D32" s="58">
        <f>'Øko% Alle køkkener'!J65</f>
        <v>315.19099999999997</v>
      </c>
      <c r="E32" s="58">
        <f>'Øko% Alle køkkener'!K65</f>
        <v>369.459</v>
      </c>
      <c r="F32" s="58">
        <f>'Øko% Alle køkkener'!L65</f>
        <v>103.877</v>
      </c>
      <c r="G32" s="58">
        <f>'Øko% Alle køkkener'!M65</f>
        <v>118.651</v>
      </c>
      <c r="H32" s="58">
        <f>'Øko% Alle køkkener'!N65</f>
        <v>211.31399999999999</v>
      </c>
      <c r="I32" s="58">
        <f>'Øko% Alle køkkener'!O65</f>
        <v>250.80799999999999</v>
      </c>
      <c r="J32" s="58">
        <f>'Øko% Alle køkkener'!P65</f>
        <v>0</v>
      </c>
      <c r="K32" s="58">
        <f>'Øko% Alle køkkener'!Q65</f>
        <v>0</v>
      </c>
      <c r="L32" s="58">
        <f>'Øko% Alle køkkener'!R65</f>
        <v>0</v>
      </c>
      <c r="M32" s="58">
        <f>'Øko% Alle køkkener'!S65</f>
        <v>0</v>
      </c>
      <c r="N32" s="58">
        <f>'Øko% Alle køkkener'!T65</f>
        <v>0</v>
      </c>
      <c r="O32" s="58">
        <f>'Øko% Alle køkkener'!U65</f>
        <v>0</v>
      </c>
    </row>
    <row r="33" spans="1:15" x14ac:dyDescent="0.35">
      <c r="A33" s="57" t="str">
        <f>'Øko% Alle køkkener'!A67</f>
        <v>Lillevang - Blommehaven</v>
      </c>
      <c r="B33" s="59">
        <f>+VLOOKUP(A33,'Øko% Alle køkkener'!$A$5:$H$114,3,FALSE)</f>
        <v>0</v>
      </c>
      <c r="C33" s="58">
        <f>'Øko% Alle køkkener'!I67</f>
        <v>76.140009558662058</v>
      </c>
      <c r="D33" s="58">
        <f>'Øko% Alle køkkener'!J67</f>
        <v>1532.5719999999999</v>
      </c>
      <c r="E33" s="58">
        <f>'Øko% Alle køkkener'!K67</f>
        <v>2012.8340000000001</v>
      </c>
      <c r="F33" s="58">
        <f>'Øko% Alle køkkener'!L67</f>
        <v>0</v>
      </c>
      <c r="G33" s="58">
        <f>'Øko% Alle køkkener'!M67</f>
        <v>0</v>
      </c>
      <c r="H33" s="58">
        <f>'Øko% Alle køkkener'!N67</f>
        <v>1484.5719999999999</v>
      </c>
      <c r="I33" s="58">
        <f>'Øko% Alle køkkener'!O67</f>
        <v>1963.9760000000001</v>
      </c>
      <c r="J33" s="58">
        <f>'Øko% Alle køkkener'!P67</f>
        <v>0</v>
      </c>
      <c r="K33" s="58">
        <f>'Øko% Alle køkkener'!Q67</f>
        <v>0</v>
      </c>
      <c r="L33" s="58">
        <f>'Øko% Alle køkkener'!R67</f>
        <v>48</v>
      </c>
      <c r="M33" s="58">
        <f>'Øko% Alle køkkener'!S67</f>
        <v>48.857999999999997</v>
      </c>
      <c r="N33" s="58">
        <f>'Øko% Alle køkkener'!T67</f>
        <v>0</v>
      </c>
      <c r="O33" s="58">
        <f>'Øko% Alle køkkener'!U67</f>
        <v>0</v>
      </c>
    </row>
    <row r="34" spans="1:15" x14ac:dyDescent="0.35">
      <c r="A34" s="57" t="str">
        <f>'Øko% Alle køkkener'!A68</f>
        <v xml:space="preserve">Lillevang - Kornelhaven </v>
      </c>
      <c r="B34" s="59">
        <f>+VLOOKUP(A34,'Øko% Alle køkkener'!$A$5:$H$114,3,FALSE)</f>
        <v>0</v>
      </c>
      <c r="C34" s="58">
        <f>'Øko% Alle køkkener'!I68</f>
        <v>53.216752203919896</v>
      </c>
      <c r="D34" s="58">
        <f>'Øko% Alle køkkener'!J68</f>
        <v>926.37699999999995</v>
      </c>
      <c r="E34" s="58">
        <f>'Øko% Alle køkkener'!K68</f>
        <v>1740.7619999999999</v>
      </c>
      <c r="F34" s="58">
        <f>'Øko% Alle køkkener'!L68</f>
        <v>0</v>
      </c>
      <c r="G34" s="58">
        <f>'Øko% Alle køkkener'!M68</f>
        <v>0</v>
      </c>
      <c r="H34" s="58">
        <f>'Øko% Alle køkkener'!N68</f>
        <v>926.37699999999995</v>
      </c>
      <c r="I34" s="58">
        <f>'Øko% Alle køkkener'!O68</f>
        <v>1730.7619999999999</v>
      </c>
      <c r="J34" s="58">
        <f>'Øko% Alle køkkener'!P68</f>
        <v>0</v>
      </c>
      <c r="K34" s="58">
        <f>'Øko% Alle køkkener'!Q68</f>
        <v>0</v>
      </c>
      <c r="L34" s="58">
        <f>'Øko% Alle køkkener'!R68</f>
        <v>0</v>
      </c>
      <c r="M34" s="58">
        <f>'Øko% Alle køkkener'!S68</f>
        <v>10</v>
      </c>
      <c r="N34" s="58">
        <f>'Øko% Alle køkkener'!T68</f>
        <v>0</v>
      </c>
      <c r="O34" s="58">
        <f>'Øko% Alle køkkener'!U68</f>
        <v>0</v>
      </c>
    </row>
    <row r="35" spans="1:15" x14ac:dyDescent="0.35">
      <c r="A35" s="57" t="str">
        <f>'Øko% Alle køkkener'!A69</f>
        <v>Lillevang - Køkken</v>
      </c>
      <c r="B35" s="59">
        <f>+VLOOKUP(A35,'Øko% Alle køkkener'!$A$5:$H$114,3,FALSE)</f>
        <v>0</v>
      </c>
      <c r="C35" s="58">
        <f>'Øko% Alle køkkener'!I69</f>
        <v>32.504866439304053</v>
      </c>
      <c r="D35" s="58">
        <f>'Øko% Alle køkkener'!J69</f>
        <v>5931.8029999999999</v>
      </c>
      <c r="E35" s="58">
        <f>'Øko% Alle køkkener'!K69</f>
        <v>18248.969000000001</v>
      </c>
      <c r="F35" s="58">
        <f>'Øko% Alle køkkener'!L69</f>
        <v>0</v>
      </c>
      <c r="G35" s="58">
        <f>'Øko% Alle køkkener'!M69</f>
        <v>0</v>
      </c>
      <c r="H35" s="58">
        <f>'Øko% Alle køkkener'!N69</f>
        <v>5838.8029999999999</v>
      </c>
      <c r="I35" s="58">
        <f>'Øko% Alle køkkener'!O69</f>
        <v>18228.969000000001</v>
      </c>
      <c r="J35" s="58">
        <f>'Øko% Alle køkkener'!P69</f>
        <v>0</v>
      </c>
      <c r="K35" s="58">
        <f>'Øko% Alle køkkener'!Q69</f>
        <v>0</v>
      </c>
      <c r="L35" s="58">
        <f>'Øko% Alle køkkener'!R69</f>
        <v>93</v>
      </c>
      <c r="M35" s="58">
        <f>'Øko% Alle køkkener'!S69</f>
        <v>20</v>
      </c>
      <c r="N35" s="127">
        <f>'Øko% Alle køkkener'!T69</f>
        <v>0</v>
      </c>
      <c r="O35" s="127">
        <f>'Øko% Alle køkkener'!U69</f>
        <v>0</v>
      </c>
    </row>
    <row r="36" spans="1:15" x14ac:dyDescent="0.35">
      <c r="A36" s="57" t="str">
        <f>'Øko% Alle køkkener'!A70</f>
        <v>Lillevang - Magnoliehaven</v>
      </c>
      <c r="B36" s="59">
        <f>+VLOOKUP(A36,'Øko% Alle køkkener'!$A$5:$H$114,3,FALSE)</f>
        <v>0</v>
      </c>
      <c r="C36" s="58">
        <f>'Øko% Alle køkkener'!I70</f>
        <v>50.92274126542933</v>
      </c>
      <c r="D36" s="58">
        <f>'Øko% Alle køkkener'!J70</f>
        <v>851.91200000000003</v>
      </c>
      <c r="E36" s="58">
        <f>'Øko% Alle køkkener'!K70</f>
        <v>1672.95</v>
      </c>
      <c r="F36" s="58">
        <f>'Øko% Alle køkkener'!L70</f>
        <v>0</v>
      </c>
      <c r="G36" s="58">
        <f>'Øko% Alle køkkener'!M70</f>
        <v>0</v>
      </c>
      <c r="H36" s="58">
        <f>'Øko% Alle køkkener'!N70</f>
        <v>851.91200000000003</v>
      </c>
      <c r="I36" s="58">
        <f>'Øko% Alle køkkener'!O70</f>
        <v>1632.95</v>
      </c>
      <c r="J36" s="58">
        <f>'Øko% Alle køkkener'!P70</f>
        <v>0</v>
      </c>
      <c r="K36" s="58">
        <f>'Øko% Alle køkkener'!Q70</f>
        <v>0</v>
      </c>
      <c r="L36" s="58">
        <f>'Øko% Alle køkkener'!R70</f>
        <v>0</v>
      </c>
      <c r="M36" s="58">
        <f>'Øko% Alle køkkener'!S70</f>
        <v>40</v>
      </c>
      <c r="N36" s="58">
        <f>'Øko% Alle køkkener'!T70</f>
        <v>0</v>
      </c>
      <c r="O36" s="58">
        <f>'Øko% Alle køkkener'!U70</f>
        <v>0</v>
      </c>
    </row>
    <row r="37" spans="1:15" x14ac:dyDescent="0.35">
      <c r="A37" s="57" t="str">
        <f>'Øko% Alle køkkener'!A71</f>
        <v>Lillevang - Syrenhaven</v>
      </c>
      <c r="B37" s="59">
        <f>+VLOOKUP(A37,'Øko% Alle køkkener'!$A$5:$H$114,3,FALSE)</f>
        <v>0</v>
      </c>
      <c r="C37" s="58">
        <f>'Øko% Alle køkkener'!I71</f>
        <v>21.385482879439884</v>
      </c>
      <c r="D37" s="58">
        <f>'Øko% Alle køkkener'!J71</f>
        <v>282.47399999999999</v>
      </c>
      <c r="E37" s="58">
        <f>'Øko% Alle køkkener'!K71</f>
        <v>1320.8679999999999</v>
      </c>
      <c r="F37" s="58">
        <f>'Øko% Alle køkkener'!L71</f>
        <v>0</v>
      </c>
      <c r="G37" s="58">
        <f>'Øko% Alle køkkener'!M71</f>
        <v>0</v>
      </c>
      <c r="H37" s="58">
        <f>'Øko% Alle køkkener'!N71</f>
        <v>262.47399999999999</v>
      </c>
      <c r="I37" s="58">
        <f>'Øko% Alle køkkener'!O71</f>
        <v>1300.8679999999999</v>
      </c>
      <c r="J37" s="58">
        <f>'Øko% Alle køkkener'!P71</f>
        <v>0</v>
      </c>
      <c r="K37" s="58">
        <f>'Øko% Alle køkkener'!Q71</f>
        <v>0</v>
      </c>
      <c r="L37" s="58">
        <f>'Øko% Alle køkkener'!R71</f>
        <v>20</v>
      </c>
      <c r="M37" s="58">
        <f>'Øko% Alle køkkener'!S71</f>
        <v>20</v>
      </c>
      <c r="N37" s="58">
        <f>'Øko% Alle køkkener'!T71</f>
        <v>0</v>
      </c>
      <c r="O37" s="58">
        <f>'Øko% Alle køkkener'!U71</f>
        <v>0</v>
      </c>
    </row>
    <row r="38" spans="1:15" x14ac:dyDescent="0.35">
      <c r="A38" s="57" t="str">
        <f>'Øko% Alle køkkener'!A72</f>
        <v>Lillevang - Rosenhaven</v>
      </c>
      <c r="B38" s="59">
        <f>+VLOOKUP(A38,'Øko% Alle køkkener'!$A$5:$H$114,3,FALSE)</f>
        <v>0</v>
      </c>
      <c r="C38" s="58">
        <f>'Øko% Alle køkkener'!I72</f>
        <v>24.361223381368539</v>
      </c>
      <c r="D38" s="58">
        <f>'Øko% Alle køkkener'!J72</f>
        <v>690.74299999999994</v>
      </c>
      <c r="E38" s="58">
        <f>'Øko% Alle køkkener'!K72</f>
        <v>2835.42</v>
      </c>
      <c r="F38" s="58">
        <f>'Øko% Alle køkkener'!L72</f>
        <v>0</v>
      </c>
      <c r="G38" s="58">
        <f>'Øko% Alle køkkener'!M72</f>
        <v>0</v>
      </c>
      <c r="H38" s="58">
        <f>'Øko% Alle køkkener'!N72</f>
        <v>690.74299999999994</v>
      </c>
      <c r="I38" s="58">
        <f>'Øko% Alle køkkener'!O72</f>
        <v>2743.152</v>
      </c>
      <c r="J38" s="58">
        <f>'Øko% Alle køkkener'!P72</f>
        <v>0</v>
      </c>
      <c r="K38" s="58">
        <f>'Øko% Alle køkkener'!Q72</f>
        <v>0</v>
      </c>
      <c r="L38" s="58">
        <f>'Øko% Alle køkkener'!R72</f>
        <v>0</v>
      </c>
      <c r="M38" s="58">
        <f>'Øko% Alle køkkener'!S72</f>
        <v>92.268000000000001</v>
      </c>
      <c r="N38" s="58">
        <f>'Øko% Alle køkkener'!T72</f>
        <v>0</v>
      </c>
      <c r="O38" s="58">
        <f>'Øko% Alle køkkener'!U72</f>
        <v>0</v>
      </c>
    </row>
    <row r="39" spans="1:15" x14ac:dyDescent="0.35">
      <c r="A39" s="57" t="str">
        <f>'Øko% Alle køkkener'!A74</f>
        <v>Lyngholmskolen, kantinen</v>
      </c>
      <c r="B39" s="59">
        <f>+VLOOKUP(A39,'Øko% Alle køkkener'!$A$5:$H$114,3,FALSE)</f>
        <v>0</v>
      </c>
      <c r="C39" s="58">
        <f>'Øko% Alle køkkener'!I74</f>
        <v>64.643327842755141</v>
      </c>
      <c r="D39" s="58">
        <f>'Øko% Alle køkkener'!J74</f>
        <v>585.14300000000003</v>
      </c>
      <c r="E39" s="58">
        <f>'Øko% Alle køkkener'!K74</f>
        <v>905.18700000000001</v>
      </c>
      <c r="F39" s="58">
        <f>'Øko% Alle køkkener'!L74</f>
        <v>0</v>
      </c>
      <c r="G39" s="58">
        <f>'Øko% Alle køkkener'!M74</f>
        <v>0</v>
      </c>
      <c r="H39" s="58">
        <f>'Øko% Alle køkkener'!N74</f>
        <v>555.14300000000003</v>
      </c>
      <c r="I39" s="58">
        <f>'Øko% Alle køkkener'!O74</f>
        <v>849.18700000000001</v>
      </c>
      <c r="J39" s="58">
        <f>'Øko% Alle køkkener'!P74</f>
        <v>0</v>
      </c>
      <c r="K39" s="58">
        <f>'Øko% Alle køkkener'!Q74</f>
        <v>0</v>
      </c>
      <c r="L39" s="58">
        <f>'Øko% Alle køkkener'!R74</f>
        <v>30</v>
      </c>
      <c r="M39" s="58">
        <f>'Øko% Alle køkkener'!S74</f>
        <v>56</v>
      </c>
      <c r="N39" s="58">
        <f>'Øko% Alle køkkener'!T74</f>
        <v>0</v>
      </c>
      <c r="O39" s="58">
        <f>'Øko% Alle køkkener'!U74</f>
        <v>0</v>
      </c>
    </row>
    <row r="40" spans="1:15" x14ac:dyDescent="0.35">
      <c r="A40" s="57" t="str">
        <f>'Øko% Alle køkkener'!A77</f>
        <v>Lynghuset</v>
      </c>
      <c r="B40" s="59">
        <f>+VLOOKUP(A40,'Øko% Alle køkkener'!$A$5:$H$114,3,FALSE)</f>
        <v>1043650</v>
      </c>
      <c r="C40" s="58">
        <f>'Øko% Alle køkkener'!I77</f>
        <v>69.764269588915553</v>
      </c>
      <c r="D40" s="58">
        <f>'Øko% Alle køkkener'!J77</f>
        <v>730.84699999999998</v>
      </c>
      <c r="E40" s="58">
        <f>'Øko% Alle køkkener'!K77</f>
        <v>1047.595</v>
      </c>
      <c r="F40" s="58">
        <f>'Øko% Alle køkkener'!L77</f>
        <v>705.10699999999997</v>
      </c>
      <c r="G40" s="58">
        <f>'Øko% Alle køkkener'!M77</f>
        <v>1015.63</v>
      </c>
      <c r="H40" s="58" t="str">
        <f>'Øko% Alle køkkener'!N77</f>
        <v>0</v>
      </c>
      <c r="I40" s="58" t="str">
        <f>'Øko% Alle køkkener'!O77</f>
        <v>0</v>
      </c>
      <c r="J40" s="58">
        <f>'Øko% Alle køkkener'!P77</f>
        <v>0</v>
      </c>
      <c r="K40" s="58">
        <f>'Øko% Alle køkkener'!Q77</f>
        <v>0</v>
      </c>
      <c r="L40" s="58">
        <f>'Øko% Alle køkkener'!R77</f>
        <v>12.8</v>
      </c>
      <c r="M40" s="58">
        <f>'Øko% Alle køkkener'!S77</f>
        <v>13.02</v>
      </c>
      <c r="N40" s="58">
        <f>'Øko% Alle køkkener'!T77</f>
        <v>12.94</v>
      </c>
      <c r="O40" s="58">
        <f>'Øko% Alle køkkener'!U77</f>
        <v>18.945</v>
      </c>
    </row>
    <row r="41" spans="1:15" x14ac:dyDescent="0.35">
      <c r="A41" s="57" t="str">
        <f>'Øko% Alle køkkener'!A79</f>
        <v>Nordvænget Vuggestue</v>
      </c>
      <c r="B41" s="59">
        <f>+VLOOKUP(A41,'Øko% Alle køkkener'!$A$5:$H$114,3,FALSE)</f>
        <v>0</v>
      </c>
      <c r="C41" s="58">
        <f>'Øko% Alle køkkener'!I79</f>
        <v>99.81280207924334</v>
      </c>
      <c r="D41" s="58">
        <f>'Øko% Alle køkkener'!J79</f>
        <v>1149.0329999999999</v>
      </c>
      <c r="E41" s="58">
        <f>'Øko% Alle køkkener'!K79</f>
        <v>1151.1880000000001</v>
      </c>
      <c r="F41" s="58">
        <f>'Øko% Alle køkkener'!L79</f>
        <v>0</v>
      </c>
      <c r="G41" s="58">
        <f>'Øko% Alle køkkener'!M79</f>
        <v>0</v>
      </c>
      <c r="H41" s="58">
        <f>'Øko% Alle køkkener'!N79</f>
        <v>1149.0329999999999</v>
      </c>
      <c r="I41" s="58">
        <f>'Øko% Alle køkkener'!O79</f>
        <v>1151.1880000000001</v>
      </c>
      <c r="J41" s="58">
        <f>'Øko% Alle køkkener'!P79</f>
        <v>0</v>
      </c>
      <c r="K41" s="58">
        <f>'Øko% Alle køkkener'!Q79</f>
        <v>0</v>
      </c>
      <c r="L41" s="58">
        <f>'Øko% Alle køkkener'!R79</f>
        <v>0</v>
      </c>
      <c r="M41" s="58">
        <f>'Øko% Alle køkkener'!S79</f>
        <v>0</v>
      </c>
      <c r="N41" s="58">
        <f>'Øko% Alle køkkener'!T79</f>
        <v>0</v>
      </c>
      <c r="O41" s="58">
        <f>'Øko% Alle køkkener'!U79</f>
        <v>0</v>
      </c>
    </row>
    <row r="42" spans="1:15" x14ac:dyDescent="0.35">
      <c r="A42" s="57" t="str">
        <f>'Øko% Alle køkkener'!A80</f>
        <v>Paletten (Valhalla)</v>
      </c>
      <c r="B42" s="59">
        <f>+VLOOKUP(A42,'Øko% Alle køkkener'!$A$5:$H$114,3,FALSE)</f>
        <v>0</v>
      </c>
      <c r="C42" s="58">
        <f>'Øko% Alle køkkener'!I80</f>
        <v>89.3163991238888</v>
      </c>
      <c r="D42" s="58">
        <f>'Øko% Alle køkkener'!J80</f>
        <v>1571.606</v>
      </c>
      <c r="E42" s="58">
        <f>'Øko% Alle køkkener'!K80</f>
        <v>1759.5940000000001</v>
      </c>
      <c r="F42" s="58">
        <f>'Øko% Alle køkkener'!L80</f>
        <v>0</v>
      </c>
      <c r="G42" s="58">
        <f>'Øko% Alle køkkener'!M80</f>
        <v>0</v>
      </c>
      <c r="H42" s="58">
        <f>'Øko% Alle køkkener'!N80</f>
        <v>1571.606</v>
      </c>
      <c r="I42" s="58">
        <f>'Øko% Alle køkkener'!O80</f>
        <v>1738.634</v>
      </c>
      <c r="J42" s="58">
        <f>'Øko% Alle køkkener'!P80</f>
        <v>0</v>
      </c>
      <c r="K42" s="58">
        <f>'Øko% Alle køkkener'!Q80</f>
        <v>0</v>
      </c>
      <c r="L42" s="58">
        <f>'Øko% Alle køkkener'!R80</f>
        <v>0</v>
      </c>
      <c r="M42" s="58">
        <f>'Øko% Alle køkkener'!S80</f>
        <v>20.96</v>
      </c>
      <c r="N42" s="58">
        <f>'Øko% Alle køkkener'!T80</f>
        <v>0</v>
      </c>
      <c r="O42" s="58">
        <f>'Øko% Alle køkkener'!U80</f>
        <v>0</v>
      </c>
    </row>
    <row r="43" spans="1:15" x14ac:dyDescent="0.35">
      <c r="A43" s="57" t="str">
        <f>'Øko% Alle køkkener'!A81</f>
        <v>Plejecenteret Solbjerghaven</v>
      </c>
      <c r="B43" s="59">
        <f>+VLOOKUP(A43,'Øko% Alle køkkener'!$A$5:$H$114,3,FALSE)</f>
        <v>2174467</v>
      </c>
      <c r="C43" s="58">
        <f>'Øko% Alle køkkener'!I81</f>
        <v>24.245807781664443</v>
      </c>
      <c r="D43" s="57">
        <f>'Øko% Alle køkkener'!J81</f>
        <v>166.768</v>
      </c>
      <c r="E43" s="57">
        <f>'Øko% Alle køkkener'!K81</f>
        <v>687.822</v>
      </c>
      <c r="F43" s="57">
        <f>'Øko% Alle køkkener'!L81</f>
        <v>166.768</v>
      </c>
      <c r="G43" s="57">
        <f>'Øko% Alle køkkener'!M81</f>
        <v>675.822</v>
      </c>
      <c r="H43" s="57" t="str">
        <f>'Øko% Alle køkkener'!N81</f>
        <v>0</v>
      </c>
      <c r="I43" s="57" t="str">
        <f>'Øko% Alle køkkener'!O81</f>
        <v>0</v>
      </c>
      <c r="J43" s="57">
        <f>'Øko% Alle køkkener'!P81</f>
        <v>0</v>
      </c>
      <c r="K43" s="57">
        <f>'Øko% Alle køkkener'!Q81</f>
        <v>0</v>
      </c>
      <c r="L43" s="57">
        <f>'Øko% Alle køkkener'!R81</f>
        <v>0</v>
      </c>
      <c r="M43" s="57">
        <f>'Øko% Alle køkkener'!S81</f>
        <v>12</v>
      </c>
      <c r="N43" s="57">
        <f>'Øko% Alle køkkener'!T81</f>
        <v>0</v>
      </c>
      <c r="O43" s="57">
        <f>'Øko% Alle køkkener'!U81</f>
        <v>0</v>
      </c>
    </row>
    <row r="44" spans="1:15" x14ac:dyDescent="0.35">
      <c r="A44" s="57" t="str">
        <f>'Øko% Alle køkkener'!A82</f>
        <v>Ryet Børnehus</v>
      </c>
      <c r="B44" s="59">
        <f>+VLOOKUP(A44,'Øko% Alle køkkener'!$A$5:$H$114,3,FALSE)</f>
        <v>0</v>
      </c>
      <c r="C44" s="58">
        <f>'Øko% Alle køkkener'!I82</f>
        <v>92.694057947290887</v>
      </c>
      <c r="D44" s="58">
        <f>'Øko% Alle køkkener'!J82</f>
        <v>1415.67</v>
      </c>
      <c r="E44" s="58">
        <f>'Øko% Alle køkkener'!K82</f>
        <v>1527.25</v>
      </c>
      <c r="F44" s="58">
        <f>'Øko% Alle køkkener'!L82</f>
        <v>0</v>
      </c>
      <c r="G44" s="58">
        <f>'Øko% Alle køkkener'!M82</f>
        <v>0</v>
      </c>
      <c r="H44" s="58">
        <f>'Øko% Alle køkkener'!N82</f>
        <v>1407.67</v>
      </c>
      <c r="I44" s="58">
        <f>'Øko% Alle køkkener'!O82</f>
        <v>1519.25</v>
      </c>
      <c r="J44" s="58">
        <f>'Øko% Alle køkkener'!P82</f>
        <v>0</v>
      </c>
      <c r="K44" s="58">
        <f>'Øko% Alle køkkener'!Q82</f>
        <v>0</v>
      </c>
      <c r="L44" s="58">
        <f>'Øko% Alle køkkener'!R82</f>
        <v>8</v>
      </c>
      <c r="M44" s="58">
        <f>'Øko% Alle køkkener'!S82</f>
        <v>8</v>
      </c>
      <c r="N44" s="58">
        <f>'Øko% Alle køkkener'!T82</f>
        <v>0</v>
      </c>
      <c r="O44" s="58">
        <f>'Øko% Alle køkkener'!U82</f>
        <v>0</v>
      </c>
    </row>
    <row r="45" spans="1:15" x14ac:dyDescent="0.35">
      <c r="A45" s="57" t="str">
        <f>'Øko% Alle køkkener'!A85</f>
        <v>Rådhuset Furesø Kommune + frugtordning</v>
      </c>
      <c r="B45" s="59">
        <f>+VLOOKUP(A45,'Øko% Alle køkkener'!$A$5:$H$114,3,FALSE)</f>
        <v>0</v>
      </c>
      <c r="C45" s="58">
        <f>'Øko% Alle køkkener'!I85</f>
        <v>73.394608586201784</v>
      </c>
      <c r="D45" s="57">
        <f>'Øko% Alle køkkener'!J85</f>
        <v>7020.6200000000008</v>
      </c>
      <c r="E45" s="57">
        <f>'Øko% Alle køkkener'!K85</f>
        <v>9565.58</v>
      </c>
      <c r="F45" s="57">
        <f>'Øko% Alle køkkener'!L85</f>
        <v>0</v>
      </c>
      <c r="G45" s="57">
        <f>'Øko% Alle køkkener'!M85</f>
        <v>0</v>
      </c>
      <c r="H45" s="57">
        <f>'Øko% Alle køkkener'!N85</f>
        <v>6768.6200000000008</v>
      </c>
      <c r="I45" s="57">
        <f>'Øko% Alle køkkener'!O85</f>
        <v>8985.6679999999997</v>
      </c>
      <c r="J45" s="57">
        <f>'Øko% Alle køkkener'!P85</f>
        <v>2</v>
      </c>
      <c r="K45" s="57">
        <f>'Øko% Alle køkkener'!Q85</f>
        <v>238.91200000000001</v>
      </c>
      <c r="L45" s="57">
        <f>'Øko% Alle køkkener'!R85</f>
        <v>250</v>
      </c>
      <c r="M45" s="57">
        <f>'Øko% Alle køkkener'!S85</f>
        <v>341</v>
      </c>
      <c r="N45" s="57">
        <f>'Øko% Alle køkkener'!T85</f>
        <v>0</v>
      </c>
      <c r="O45" s="57">
        <f>'Øko% Alle køkkener'!U85</f>
        <v>0</v>
      </c>
    </row>
    <row r="46" spans="1:15" x14ac:dyDescent="0.35">
      <c r="A46" s="57" t="str">
        <f>'Øko% Alle køkkener'!A88</f>
        <v>Skovgården</v>
      </c>
      <c r="B46" s="59">
        <f>+VLOOKUP(A46,'Øko% Alle køkkener'!$A$5:$H$114,3,FALSE)</f>
        <v>0</v>
      </c>
      <c r="C46" s="58">
        <f>'Øko% Alle køkkener'!I88</f>
        <v>59.724534651475928</v>
      </c>
      <c r="D46" s="58">
        <f>'Øko% Alle køkkener'!J88</f>
        <v>945.21900000000005</v>
      </c>
      <c r="E46" s="58">
        <f>'Øko% Alle køkkener'!K88</f>
        <v>1582.6310000000001</v>
      </c>
      <c r="F46" s="58">
        <f>'Øko% Alle køkkener'!L88</f>
        <v>0</v>
      </c>
      <c r="G46" s="58">
        <f>'Øko% Alle køkkener'!M88</f>
        <v>0</v>
      </c>
      <c r="H46" s="58">
        <f>'Øko% Alle køkkener'!N88</f>
        <v>920.01900000000001</v>
      </c>
      <c r="I46" s="58">
        <f>'Øko% Alle køkkener'!O88</f>
        <v>1551.1310000000001</v>
      </c>
      <c r="J46" s="58">
        <f>'Øko% Alle køkkener'!P88</f>
        <v>0</v>
      </c>
      <c r="K46" s="58">
        <f>'Øko% Alle køkkener'!Q88</f>
        <v>0</v>
      </c>
      <c r="L46" s="58">
        <f>'Øko% Alle køkkener'!R88</f>
        <v>25.2</v>
      </c>
      <c r="M46" s="58">
        <f>'Øko% Alle køkkener'!S88</f>
        <v>31.5</v>
      </c>
      <c r="N46" s="58">
        <f>'Øko% Alle køkkener'!T88</f>
        <v>0</v>
      </c>
      <c r="O46" s="58">
        <f>'Øko% Alle køkkener'!U88</f>
        <v>0</v>
      </c>
    </row>
    <row r="47" spans="1:15" x14ac:dyDescent="0.35">
      <c r="A47" s="57" t="str">
        <f>'Øko% Alle køkkener'!A90</f>
        <v>Solstrålen</v>
      </c>
      <c r="B47" s="59">
        <f>+VLOOKUP(A47,'Øko% Alle køkkener'!$A$5:$H$114,3,FALSE)</f>
        <v>0</v>
      </c>
      <c r="C47" s="58">
        <f>'Øko% Alle køkkener'!I90</f>
        <v>95.130216265610713</v>
      </c>
      <c r="D47" s="58">
        <f>'Øko% Alle køkkener'!J90</f>
        <v>1399.16</v>
      </c>
      <c r="E47" s="58">
        <f>'Øko% Alle køkkener'!K90</f>
        <v>1470.7840000000001</v>
      </c>
      <c r="F47" s="58">
        <f>'Øko% Alle køkkener'!L90</f>
        <v>0</v>
      </c>
      <c r="G47" s="58">
        <f>'Øko% Alle køkkener'!M90</f>
        <v>0</v>
      </c>
      <c r="H47" s="58">
        <f>'Øko% Alle køkkener'!N90</f>
        <v>1389.16</v>
      </c>
      <c r="I47" s="58">
        <f>'Øko% Alle køkkener'!O90</f>
        <v>1460.7840000000001</v>
      </c>
      <c r="J47" s="58">
        <f>'Øko% Alle køkkener'!P90</f>
        <v>0</v>
      </c>
      <c r="K47" s="58">
        <f>'Øko% Alle køkkener'!Q90</f>
        <v>0</v>
      </c>
      <c r="L47" s="58">
        <f>'Øko% Alle køkkener'!R90</f>
        <v>10</v>
      </c>
      <c r="M47" s="58">
        <f>'Øko% Alle køkkener'!S90</f>
        <v>10</v>
      </c>
      <c r="N47" s="58">
        <f>'Øko% Alle køkkener'!T90</f>
        <v>0</v>
      </c>
      <c r="O47" s="58">
        <f>'Øko% Alle køkkener'!U90</f>
        <v>0</v>
      </c>
    </row>
    <row r="48" spans="1:15" x14ac:dyDescent="0.35">
      <c r="A48" s="57" t="str">
        <f>'Øko% Alle køkkener'!A95</f>
        <v>Stavnsholt Børnehus, integr.</v>
      </c>
      <c r="B48" s="59">
        <f>+VLOOKUP(A48,'Øko% Alle køkkener'!$A$5:$H$114,3,FALSE)</f>
        <v>1232086</v>
      </c>
      <c r="C48" s="58">
        <f>'Øko% Alle køkkener'!I95</f>
        <v>95.147902133201768</v>
      </c>
      <c r="D48" s="57">
        <f>'Øko% Alle køkkener'!J95</f>
        <v>2657.7339999999999</v>
      </c>
      <c r="E48" s="57">
        <f>'Øko% Alle køkkener'!K95</f>
        <v>2793.2660000000001</v>
      </c>
      <c r="F48" s="57">
        <f>'Øko% Alle køkkener'!L95</f>
        <v>1.5760000000000001</v>
      </c>
      <c r="G48" s="57">
        <f>'Øko% Alle køkkener'!M95</f>
        <v>2.6480000000000001</v>
      </c>
      <c r="H48" s="57" t="str">
        <f>'Øko% Alle køkkener'!N59</f>
        <v>0</v>
      </c>
      <c r="I48" s="57" t="str">
        <f>'Øko% Alle køkkener'!O59</f>
        <v>0</v>
      </c>
      <c r="J48" s="57">
        <f>'Øko% Alle køkkener'!P59</f>
        <v>0</v>
      </c>
      <c r="K48" s="57">
        <f>'Øko% Alle køkkener'!Q59</f>
        <v>0</v>
      </c>
      <c r="L48" s="57">
        <f>'Øko% Alle køkkener'!R59</f>
        <v>0</v>
      </c>
      <c r="M48" s="57">
        <f>'Øko% Alle køkkener'!S59</f>
        <v>0</v>
      </c>
      <c r="N48" s="57">
        <f>'Øko% Alle køkkener'!T59</f>
        <v>0</v>
      </c>
      <c r="O48" s="57">
        <f>'Øko% Alle køkkener'!U59</f>
        <v>0</v>
      </c>
    </row>
    <row r="49" spans="1:16" x14ac:dyDescent="0.35">
      <c r="A49" s="57" t="str">
        <f>'Øko% Alle køkkener'!A97</f>
        <v xml:space="preserve">Stavnsholtskolen, kantinen. </v>
      </c>
      <c r="B49" s="59">
        <f>+VLOOKUP(A49,'Øko% Alle køkkener'!$A$5:$H$114,3,FALSE)</f>
        <v>2361189</v>
      </c>
      <c r="C49" s="58">
        <f>'Øko% Alle køkkener'!I97</f>
        <v>91.892944718810568</v>
      </c>
      <c r="D49" s="58">
        <f>'Øko% Alle køkkener'!J97</f>
        <v>776.10300000000007</v>
      </c>
      <c r="E49" s="58">
        <f>'Øko% Alle køkkener'!K97</f>
        <v>844.57300000000009</v>
      </c>
      <c r="F49" s="58">
        <f>'Øko% Alle køkkener'!L97</f>
        <v>9.24</v>
      </c>
      <c r="G49" s="58">
        <f>'Øko% Alle køkkener'!M97</f>
        <v>54.963999999999999</v>
      </c>
      <c r="H49" s="58">
        <f>'Øko% Alle køkkener'!N97</f>
        <v>766.86300000000006</v>
      </c>
      <c r="I49" s="58">
        <f>'Øko% Alle køkkener'!O97</f>
        <v>789.60900000000004</v>
      </c>
      <c r="J49" s="58">
        <f>'Øko% Alle køkkener'!P97</f>
        <v>0</v>
      </c>
      <c r="K49" s="58">
        <f>'Øko% Alle køkkener'!Q97</f>
        <v>0</v>
      </c>
      <c r="L49" s="58">
        <f>'Øko% Alle køkkener'!R97</f>
        <v>0</v>
      </c>
      <c r="M49" s="58">
        <f>'Øko% Alle køkkener'!S97</f>
        <v>0</v>
      </c>
      <c r="N49" s="58">
        <f>'Øko% Alle køkkener'!T97</f>
        <v>0</v>
      </c>
      <c r="O49" s="58">
        <f>'Øko% Alle køkkener'!U97</f>
        <v>0</v>
      </c>
    </row>
    <row r="50" spans="1:16" x14ac:dyDescent="0.35">
      <c r="A50" s="57" t="str">
        <f>'Øko% Alle køkkener'!A100</f>
        <v>Svanepunktet Plejecenter, Svane</v>
      </c>
      <c r="B50" s="59">
        <f>+VLOOKUP(A50,'Øko% Alle køkkener'!$A$5:$H$114,3,FALSE)</f>
        <v>0</v>
      </c>
      <c r="C50" s="58">
        <f>'Øko% Alle køkkener'!I100</f>
        <v>56.207295252062366</v>
      </c>
      <c r="D50" s="58">
        <f>'Øko% Alle køkkener'!J100</f>
        <v>1262.4670000000001</v>
      </c>
      <c r="E50" s="58">
        <f>'Øko% Alle køkkener'!K100</f>
        <v>2246.0909999999999</v>
      </c>
      <c r="F50" s="58">
        <f>'Øko% Alle køkkener'!L100</f>
        <v>0</v>
      </c>
      <c r="G50" s="58">
        <f>'Øko% Alle køkkener'!M100</f>
        <v>0</v>
      </c>
      <c r="H50" s="58">
        <f>'Øko% Alle køkkener'!N100</f>
        <v>1262.4670000000001</v>
      </c>
      <c r="I50" s="58">
        <f>'Øko% Alle køkkener'!O100</f>
        <v>2155.0909999999999</v>
      </c>
      <c r="J50" s="58">
        <f>'Øko% Alle køkkener'!P100</f>
        <v>0</v>
      </c>
      <c r="K50" s="58">
        <f>'Øko% Alle køkkener'!Q100</f>
        <v>0</v>
      </c>
      <c r="L50" s="58">
        <f>'Øko% Alle køkkener'!R100</f>
        <v>0</v>
      </c>
      <c r="M50" s="58">
        <f>'Øko% Alle køkkener'!S100</f>
        <v>91</v>
      </c>
      <c r="N50" s="58">
        <f>'Øko% Alle køkkener'!T100</f>
        <v>0</v>
      </c>
      <c r="O50" s="58">
        <f>'Øko% Alle køkkener'!U100</f>
        <v>0</v>
      </c>
    </row>
    <row r="51" spans="1:16" x14ac:dyDescent="0.35">
      <c r="A51" s="57" t="str">
        <f>'Øko% Alle køkkener'!A102</f>
        <v>Svanepunktet, Rehab</v>
      </c>
      <c r="B51" s="59">
        <f>+VLOOKUP(A51,'Øko% Alle køkkener'!$A$5:$H$114,3,FALSE)</f>
        <v>0</v>
      </c>
      <c r="C51" s="58">
        <f>'Øko% Alle køkkener'!I102</f>
        <v>60.256012562372632</v>
      </c>
      <c r="D51" s="58">
        <f>'Øko% Alle køkkener'!J102</f>
        <v>1155.7760000000001</v>
      </c>
      <c r="E51" s="58">
        <f>'Øko% Alle køkkener'!K102</f>
        <v>1918.1089999999999</v>
      </c>
      <c r="F51" s="58">
        <f>'Øko% Alle køkkener'!L102</f>
        <v>0</v>
      </c>
      <c r="G51" s="58">
        <f>'Øko% Alle køkkener'!M102</f>
        <v>0</v>
      </c>
      <c r="H51" s="58">
        <f>'Øko% Alle køkkener'!N102</f>
        <v>1094.7760000000001</v>
      </c>
      <c r="I51" s="58">
        <f>'Øko% Alle køkkener'!O102</f>
        <v>1888.1089999999999</v>
      </c>
      <c r="J51" s="58">
        <f>'Øko% Alle køkkener'!P102</f>
        <v>0</v>
      </c>
      <c r="K51" s="58">
        <f>'Øko% Alle køkkener'!Q102</f>
        <v>0</v>
      </c>
      <c r="L51" s="58">
        <f>'Øko% Alle køkkener'!R102</f>
        <v>61</v>
      </c>
      <c r="M51" s="58">
        <f>'Øko% Alle køkkener'!S102</f>
        <v>30</v>
      </c>
      <c r="N51" s="58">
        <f>'Øko% Alle køkkener'!T102</f>
        <v>0</v>
      </c>
      <c r="O51" s="58">
        <f>'Øko% Alle køkkener'!U102</f>
        <v>0</v>
      </c>
    </row>
    <row r="52" spans="1:16" x14ac:dyDescent="0.35">
      <c r="A52" s="57" t="str">
        <f>'Øko% Alle køkkener'!A103</f>
        <v>Syvstjerneklubben &amp; kantine</v>
      </c>
      <c r="B52" s="59">
        <f>+VLOOKUP(A52,'Øko% Alle køkkener'!$A$5:$H$114,3,FALSE)</f>
        <v>0</v>
      </c>
      <c r="C52" s="58">
        <f>'Øko% Alle køkkener'!I103</f>
        <v>57.468346878380594</v>
      </c>
      <c r="D52" s="57">
        <f>'Øko% Alle køkkener'!J103</f>
        <v>655.01099999999997</v>
      </c>
      <c r="E52" s="57">
        <f>'Øko% Alle køkkener'!K103</f>
        <v>1139.777</v>
      </c>
      <c r="F52" s="57">
        <f>'Øko% Alle køkkener'!L103</f>
        <v>0</v>
      </c>
      <c r="G52" s="57">
        <f>'Øko% Alle køkkener'!M103</f>
        <v>0</v>
      </c>
      <c r="H52" s="57">
        <f>'Øko% Alle køkkener'!N103</f>
        <v>655.01099999999997</v>
      </c>
      <c r="I52" s="57">
        <f>'Øko% Alle køkkener'!O103</f>
        <v>1139.777</v>
      </c>
      <c r="J52" s="57">
        <f>'Øko% Alle køkkener'!P103</f>
        <v>0</v>
      </c>
      <c r="K52" s="57">
        <f>'Øko% Alle køkkener'!Q103</f>
        <v>0</v>
      </c>
      <c r="L52" s="57">
        <f>'Øko% Alle køkkener'!R103</f>
        <v>0</v>
      </c>
      <c r="M52" s="57">
        <f>'Øko% Alle køkkener'!S103</f>
        <v>0</v>
      </c>
      <c r="N52" s="57">
        <f>'Øko% Alle køkkener'!T103</f>
        <v>0</v>
      </c>
      <c r="O52" s="57">
        <f>'Øko% Alle køkkener'!U103</f>
        <v>0</v>
      </c>
    </row>
    <row r="53" spans="1:16" x14ac:dyDescent="0.35">
      <c r="A53" s="57" t="str">
        <f>'Øko% Alle køkkener'!A109</f>
        <v>Søndersø FFO 2, Solbjerggaard</v>
      </c>
      <c r="B53" s="59">
        <f>+VLOOKUP(A53,'Øko% Alle køkkener'!$A$5:$H$114,3,FALSE)</f>
        <v>2167011</v>
      </c>
      <c r="C53" s="58">
        <f>'Øko% Alle køkkener'!I109</f>
        <v>5.4603916535155408</v>
      </c>
      <c r="D53" s="58">
        <f>'Øko% Alle køkkener'!J109</f>
        <v>49.859000000000002</v>
      </c>
      <c r="E53" s="58">
        <f>'Øko% Alle køkkener'!K109</f>
        <v>913.10299999999995</v>
      </c>
      <c r="F53" s="58">
        <f>'Øko% Alle køkkener'!L109</f>
        <v>49.859000000000002</v>
      </c>
      <c r="G53" s="58">
        <f>'Øko% Alle køkkener'!M109</f>
        <v>913.10299999999995</v>
      </c>
      <c r="H53" s="58" t="str">
        <f>'Øko% Alle køkkener'!N109</f>
        <v>0</v>
      </c>
      <c r="I53" s="58" t="str">
        <f>'Øko% Alle køkkener'!O109</f>
        <v>0</v>
      </c>
      <c r="J53" s="58">
        <f>'Øko% Alle køkkener'!P109</f>
        <v>0</v>
      </c>
      <c r="K53" s="58">
        <f>'Øko% Alle køkkener'!Q109</f>
        <v>0</v>
      </c>
      <c r="L53" s="58">
        <f>'Øko% Alle køkkener'!R109</f>
        <v>0</v>
      </c>
      <c r="M53" s="58">
        <f>'Øko% Alle køkkener'!S109</f>
        <v>0</v>
      </c>
      <c r="N53" s="58">
        <f>'Øko% Alle køkkener'!T109</f>
        <v>0</v>
      </c>
      <c r="O53" s="58">
        <f>'Øko% Alle køkkener'!U109</f>
        <v>0</v>
      </c>
    </row>
    <row r="54" spans="1:16" x14ac:dyDescent="0.35">
      <c r="A54" s="57" t="str">
        <f>'Øko% Alle køkkener'!A113</f>
        <v>Værløse Svømmehal</v>
      </c>
      <c r="B54" s="59">
        <f>+VLOOKUP(A54,'Øko% Alle køkkener'!$A$5:$H$114,3,FALSE)</f>
        <v>0</v>
      </c>
      <c r="C54" s="58">
        <f>'Øko% Alle køkkener'!I113</f>
        <v>28.015209735362873</v>
      </c>
      <c r="D54" s="57">
        <f>'Øko% Alle køkkener'!J113</f>
        <v>593.83699999999999</v>
      </c>
      <c r="E54" s="57">
        <f>'Øko% Alle køkkener'!K113</f>
        <v>2119.6949999999997</v>
      </c>
      <c r="F54" s="57">
        <f>'Øko% Alle køkkener'!L113</f>
        <v>0</v>
      </c>
      <c r="G54" s="57">
        <f>'Øko% Alle køkkener'!M113</f>
        <v>0</v>
      </c>
      <c r="H54" s="57">
        <f>'Øko% Alle køkkener'!N33</f>
        <v>663.35699999999997</v>
      </c>
      <c r="I54" s="57">
        <f>'Øko% Alle køkkener'!O33</f>
        <v>758.51099999999997</v>
      </c>
      <c r="J54" s="57">
        <f>'Øko% Alle køkkener'!P113</f>
        <v>0</v>
      </c>
      <c r="K54" s="57">
        <f>'Øko% Alle køkkener'!Q113</f>
        <v>0</v>
      </c>
      <c r="L54" s="57">
        <f>'Øko% Alle køkkener'!R113</f>
        <v>29</v>
      </c>
      <c r="M54" s="57">
        <f>'Øko% Alle køkkener'!S113</f>
        <v>29</v>
      </c>
      <c r="N54" s="57">
        <f>'Øko% Alle køkkener'!T113</f>
        <v>45.69</v>
      </c>
      <c r="O54" s="57">
        <f>'Øko% Alle køkkener'!U113</f>
        <v>480.53999999999996</v>
      </c>
    </row>
    <row r="55" spans="1:16" ht="15" thickBot="1" x14ac:dyDescent="0.4">
      <c r="A55" s="57" t="str">
        <f>'Øko% Alle køkkener'!A114</f>
        <v>Åkanden</v>
      </c>
      <c r="B55" s="59">
        <f>+VLOOKUP(A55,'Øko% Alle køkkener'!$A$5:$H$114,3,FALSE)</f>
        <v>0</v>
      </c>
      <c r="C55" s="58">
        <f>'Øko% Alle køkkener'!I114</f>
        <v>95.710445463672471</v>
      </c>
      <c r="D55" s="57">
        <f>'Øko% Alle køkkener'!J114</f>
        <v>1519.5889999999999</v>
      </c>
      <c r="E55" s="57">
        <f>'Øko% Alle køkkener'!K114</f>
        <v>1587.694</v>
      </c>
      <c r="F55" s="57">
        <f>'Øko% Alle køkkener'!L114</f>
        <v>0</v>
      </c>
      <c r="G55" s="57">
        <f>'Øko% Alle køkkener'!M114</f>
        <v>0</v>
      </c>
      <c r="H55" s="57">
        <f>'Øko% Alle køkkener'!N114</f>
        <v>1519.5889999999999</v>
      </c>
      <c r="I55" s="57">
        <f>'Øko% Alle køkkener'!O114</f>
        <v>1586.694</v>
      </c>
      <c r="J55" s="57">
        <f>'Øko% Alle køkkener'!P114</f>
        <v>0</v>
      </c>
      <c r="K55" s="57">
        <f>'Øko% Alle køkkener'!Q114</f>
        <v>0</v>
      </c>
      <c r="L55" s="57">
        <f>'Øko% Alle køkkener'!R114</f>
        <v>0</v>
      </c>
      <c r="M55" s="57">
        <f>'Øko% Alle køkkener'!S114</f>
        <v>1</v>
      </c>
      <c r="N55" s="57">
        <f>'Øko% Alle køkkener'!T114</f>
        <v>0</v>
      </c>
      <c r="O55" s="57">
        <f>'Øko% Alle køkkener'!U114</f>
        <v>0</v>
      </c>
    </row>
    <row r="56" spans="1:16" ht="16.5" thickTop="1" thickBot="1" x14ac:dyDescent="0.4">
      <c r="A56" s="56" t="s">
        <v>60</v>
      </c>
      <c r="B56" s="56"/>
      <c r="C56" s="55">
        <f>(D56*100)/E56</f>
        <v>66.094803190342006</v>
      </c>
      <c r="D56" s="52">
        <f>F56+H56+J56+L56+N56</f>
        <v>63444.622999999992</v>
      </c>
      <c r="E56" s="52">
        <f>G56+I56+K56+M56+O56</f>
        <v>95990.335000000006</v>
      </c>
      <c r="F56" s="54">
        <f>SUM(F5:F55)</f>
        <v>2086.0340000000001</v>
      </c>
      <c r="G56" s="52">
        <f t="shared" ref="G56:O56" si="0">SUM(G5:G55)</f>
        <v>4894.9269999999997</v>
      </c>
      <c r="H56" s="52">
        <f t="shared" si="0"/>
        <v>60618.014999999992</v>
      </c>
      <c r="I56" s="52">
        <f t="shared" si="0"/>
        <v>89277.403000000006</v>
      </c>
      <c r="J56" s="53">
        <f t="shared" si="0"/>
        <v>2</v>
      </c>
      <c r="K56" s="53">
        <f t="shared" si="0"/>
        <v>238.91200000000001</v>
      </c>
      <c r="L56" s="52">
        <f t="shared" si="0"/>
        <v>679.94399999999996</v>
      </c>
      <c r="M56" s="52">
        <f t="shared" si="0"/>
        <v>1079.6080000000002</v>
      </c>
      <c r="N56" s="52">
        <f t="shared" si="0"/>
        <v>58.629999999999995</v>
      </c>
      <c r="O56" s="52">
        <f t="shared" si="0"/>
        <v>499.48499999999996</v>
      </c>
      <c r="P56" s="41"/>
    </row>
    <row r="57" spans="1:16" s="41" customFormat="1" x14ac:dyDescent="0.35">
      <c r="A57" s="46"/>
      <c r="B57" s="46"/>
      <c r="C57" s="50"/>
      <c r="D57" s="49"/>
      <c r="E57" s="49"/>
      <c r="F57" s="51"/>
      <c r="G57" s="51"/>
      <c r="H57" s="44"/>
      <c r="I57" s="44"/>
      <c r="J57" s="42"/>
      <c r="K57" s="42"/>
      <c r="L57" s="43"/>
      <c r="M57" s="3"/>
      <c r="N57" s="40"/>
      <c r="O57" s="40"/>
      <c r="P57" s="40"/>
    </row>
    <row r="58" spans="1:16" x14ac:dyDescent="0.35">
      <c r="A58" s="46"/>
      <c r="B58" s="46"/>
      <c r="C58" s="50"/>
      <c r="D58" s="49"/>
      <c r="E58" s="49"/>
      <c r="G58" s="44"/>
      <c r="J58" s="40"/>
      <c r="K58" s="41"/>
      <c r="N58" s="3"/>
      <c r="O58" s="3"/>
    </row>
    <row r="85" spans="4:4" x14ac:dyDescent="0.35">
      <c r="D85" s="47"/>
    </row>
    <row r="86" spans="4:4" x14ac:dyDescent="0.35">
      <c r="D86" s="80"/>
    </row>
  </sheetData>
  <autoFilter ref="A4:P56" xr:uid="{B83F36C6-1154-49C3-9441-A6713B4BA070}"/>
  <mergeCells count="6">
    <mergeCell ref="L3:M3"/>
    <mergeCell ref="N3:O3"/>
    <mergeCell ref="D3:E3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65B59-8FDD-4AFB-896C-461D3801CB4F}">
  <dimension ref="A2:D121"/>
  <sheetViews>
    <sheetView topLeftCell="A51" workbookViewId="0">
      <selection activeCell="G85" sqref="G85"/>
    </sheetView>
  </sheetViews>
  <sheetFormatPr defaultRowHeight="14.5" x14ac:dyDescent="0.35"/>
  <cols>
    <col min="1" max="1" width="82.54296875" bestFit="1" customWidth="1"/>
    <col min="2" max="2" width="12.90625" bestFit="1" customWidth="1"/>
    <col min="3" max="3" width="17.453125" bestFit="1" customWidth="1"/>
    <col min="4" max="4" width="12.08984375" bestFit="1" customWidth="1"/>
  </cols>
  <sheetData>
    <row r="2" spans="1:4" x14ac:dyDescent="0.35">
      <c r="A2" s="84" t="s">
        <v>166</v>
      </c>
      <c r="B2" t="s">
        <v>169</v>
      </c>
      <c r="C2" t="s">
        <v>168</v>
      </c>
      <c r="D2" t="s">
        <v>172</v>
      </c>
    </row>
    <row r="3" spans="1:4" x14ac:dyDescent="0.35">
      <c r="A3" s="85" t="s">
        <v>117</v>
      </c>
      <c r="B3" s="90">
        <v>39864.649999999994</v>
      </c>
      <c r="C3" s="90">
        <v>43644.919000000002</v>
      </c>
      <c r="D3" s="87">
        <v>0.91338581702946897</v>
      </c>
    </row>
    <row r="4" spans="1:4" x14ac:dyDescent="0.35">
      <c r="A4" s="86" t="s">
        <v>53</v>
      </c>
      <c r="B4" s="90">
        <v>1332.011</v>
      </c>
      <c r="C4" s="90">
        <v>1503.4</v>
      </c>
      <c r="D4" s="87">
        <v>0.88599906877743773</v>
      </c>
    </row>
    <row r="5" spans="1:4" x14ac:dyDescent="0.35">
      <c r="A5" s="86" t="s">
        <v>26</v>
      </c>
      <c r="B5" s="90">
        <v>986.32799999999997</v>
      </c>
      <c r="C5" s="90">
        <v>1374.4549999999999</v>
      </c>
      <c r="D5" s="87">
        <v>0.71761389059663649</v>
      </c>
    </row>
    <row r="6" spans="1:4" x14ac:dyDescent="0.35">
      <c r="A6" s="86" t="s">
        <v>3</v>
      </c>
      <c r="B6" s="90">
        <v>1084.905</v>
      </c>
      <c r="C6" s="90">
        <v>1354.59</v>
      </c>
      <c r="D6" s="87">
        <v>0.80091023852235732</v>
      </c>
    </row>
    <row r="7" spans="1:4" x14ac:dyDescent="0.35">
      <c r="A7" s="86" t="s">
        <v>13</v>
      </c>
      <c r="B7" s="90">
        <v>2346.0990000000002</v>
      </c>
      <c r="C7" s="90">
        <v>2375.799</v>
      </c>
      <c r="D7" s="87">
        <v>0.98749894246104164</v>
      </c>
    </row>
    <row r="8" spans="1:4" x14ac:dyDescent="0.35">
      <c r="A8" s="86" t="s">
        <v>20</v>
      </c>
      <c r="B8" s="90">
        <v>1361.0129999999999</v>
      </c>
      <c r="C8" s="90">
        <v>1373.251</v>
      </c>
      <c r="D8" s="87">
        <v>0.99108830068210396</v>
      </c>
    </row>
    <row r="9" spans="1:4" x14ac:dyDescent="0.35">
      <c r="A9" s="86" t="s">
        <v>101</v>
      </c>
      <c r="B9" s="90">
        <v>509.142</v>
      </c>
      <c r="C9" s="90">
        <v>522.86500000000001</v>
      </c>
      <c r="D9" s="87">
        <v>0.97375421954041674</v>
      </c>
    </row>
    <row r="10" spans="1:4" x14ac:dyDescent="0.35">
      <c r="A10" s="86" t="s">
        <v>102</v>
      </c>
      <c r="B10" s="90">
        <v>1443.221</v>
      </c>
      <c r="C10" s="90">
        <v>1534.8990000000001</v>
      </c>
      <c r="D10" s="87">
        <v>0.94027098851455371</v>
      </c>
    </row>
    <row r="11" spans="1:4" x14ac:dyDescent="0.35">
      <c r="A11" s="86" t="s">
        <v>46</v>
      </c>
      <c r="B11" s="90">
        <v>1225.201</v>
      </c>
      <c r="C11" s="90">
        <v>1397.4390000000001</v>
      </c>
      <c r="D11" s="87">
        <v>0.87674739290945791</v>
      </c>
    </row>
    <row r="12" spans="1:4" x14ac:dyDescent="0.35">
      <c r="A12" s="86" t="s">
        <v>97</v>
      </c>
      <c r="B12" s="90">
        <v>1132.9090000000001</v>
      </c>
      <c r="C12" s="90">
        <v>1222.796</v>
      </c>
      <c r="D12" s="87">
        <v>0.9264906002309462</v>
      </c>
    </row>
    <row r="13" spans="1:4" x14ac:dyDescent="0.35">
      <c r="A13" s="86" t="s">
        <v>79</v>
      </c>
      <c r="B13" s="90">
        <v>983.39400000000001</v>
      </c>
      <c r="C13" s="90">
        <v>1085.979</v>
      </c>
      <c r="D13" s="87">
        <v>0.90553684739760154</v>
      </c>
    </row>
    <row r="14" spans="1:4" x14ac:dyDescent="0.35">
      <c r="A14" s="86" t="s">
        <v>4</v>
      </c>
      <c r="B14" s="90">
        <v>1638.808</v>
      </c>
      <c r="C14" s="90">
        <v>1641.8779999999999</v>
      </c>
      <c r="D14" s="87">
        <v>0.99813018994103098</v>
      </c>
    </row>
    <row r="15" spans="1:4" x14ac:dyDescent="0.35">
      <c r="A15" s="86" t="s">
        <v>5</v>
      </c>
      <c r="B15" s="90">
        <v>2295.2860000000001</v>
      </c>
      <c r="C15" s="90">
        <v>2666.491</v>
      </c>
      <c r="D15" s="87">
        <v>0.86078895447237591</v>
      </c>
    </row>
    <row r="16" spans="1:4" x14ac:dyDescent="0.35">
      <c r="A16" s="86" t="s">
        <v>55</v>
      </c>
      <c r="B16" s="90">
        <v>2817.0720000000001</v>
      </c>
      <c r="C16" s="90">
        <v>2884.9079999999999</v>
      </c>
      <c r="D16" s="87">
        <v>0.97648590526976953</v>
      </c>
    </row>
    <row r="17" spans="1:4" x14ac:dyDescent="0.35">
      <c r="A17" s="86" t="s">
        <v>6</v>
      </c>
      <c r="B17" s="90">
        <v>1295.701</v>
      </c>
      <c r="C17" s="90">
        <v>1303.5260000000001</v>
      </c>
      <c r="D17" s="87">
        <v>0.99399705107531411</v>
      </c>
    </row>
    <row r="18" spans="1:4" x14ac:dyDescent="0.35">
      <c r="A18" s="86" t="s">
        <v>34</v>
      </c>
      <c r="B18" s="90">
        <v>663.35699999999997</v>
      </c>
      <c r="C18" s="90">
        <v>758.51099999999997</v>
      </c>
      <c r="D18" s="87">
        <v>0.87455158857287496</v>
      </c>
    </row>
    <row r="19" spans="1:4" x14ac:dyDescent="0.35">
      <c r="A19" s="86" t="s">
        <v>7</v>
      </c>
      <c r="B19" s="90">
        <v>1599.9799999999998</v>
      </c>
      <c r="C19" s="90">
        <v>1760.9379999999999</v>
      </c>
      <c r="D19" s="87">
        <v>0.90859530545652367</v>
      </c>
    </row>
    <row r="20" spans="1:4" x14ac:dyDescent="0.35">
      <c r="A20" s="86" t="s">
        <v>15</v>
      </c>
      <c r="B20" s="90">
        <v>1558.0329999999999</v>
      </c>
      <c r="C20" s="90">
        <v>1578.0329999999999</v>
      </c>
      <c r="D20" s="87">
        <v>0.98732599381635233</v>
      </c>
    </row>
    <row r="21" spans="1:4" x14ac:dyDescent="0.35">
      <c r="A21" s="86" t="s">
        <v>68</v>
      </c>
      <c r="B21" s="90">
        <v>87.191000000000003</v>
      </c>
      <c r="C21" s="90">
        <v>118.997</v>
      </c>
      <c r="D21" s="87">
        <v>0.73271595082228969</v>
      </c>
    </row>
    <row r="22" spans="1:4" x14ac:dyDescent="0.35">
      <c r="A22" s="86" t="s">
        <v>8</v>
      </c>
      <c r="B22" s="90">
        <v>1774.126</v>
      </c>
      <c r="C22" s="90">
        <v>1783.681</v>
      </c>
      <c r="D22" s="87">
        <v>0.99464310041986204</v>
      </c>
    </row>
    <row r="23" spans="1:4" x14ac:dyDescent="0.35">
      <c r="A23" s="86" t="s">
        <v>11</v>
      </c>
      <c r="B23" s="90">
        <v>1149.0329999999999</v>
      </c>
      <c r="C23" s="90">
        <v>1151.1880000000001</v>
      </c>
      <c r="D23" s="87">
        <v>0.99812802079243335</v>
      </c>
    </row>
    <row r="24" spans="1:4" x14ac:dyDescent="0.35">
      <c r="A24" s="86" t="s">
        <v>96</v>
      </c>
      <c r="B24" s="90">
        <v>1571.606</v>
      </c>
      <c r="C24" s="90">
        <v>1759.5940000000001</v>
      </c>
      <c r="D24" s="87">
        <v>0.89316399123888801</v>
      </c>
    </row>
    <row r="25" spans="1:4" x14ac:dyDescent="0.35">
      <c r="A25" s="86" t="s">
        <v>17</v>
      </c>
      <c r="B25" s="90">
        <v>1415.67</v>
      </c>
      <c r="C25" s="90">
        <v>1527.25</v>
      </c>
      <c r="D25" s="87">
        <v>0.92694057947290887</v>
      </c>
    </row>
    <row r="26" spans="1:4" x14ac:dyDescent="0.35">
      <c r="A26" s="86" t="s">
        <v>21</v>
      </c>
      <c r="B26" s="90">
        <v>1519.5889999999999</v>
      </c>
      <c r="C26" s="90">
        <v>1587.694</v>
      </c>
      <c r="D26" s="87">
        <v>0.95710445463672467</v>
      </c>
    </row>
    <row r="27" spans="1:4" x14ac:dyDescent="0.35">
      <c r="A27" s="86" t="s">
        <v>18</v>
      </c>
      <c r="B27" s="90">
        <v>455.30400000000003</v>
      </c>
      <c r="C27" s="90">
        <v>602.98899999999992</v>
      </c>
      <c r="D27" s="87">
        <v>0.75507845085067904</v>
      </c>
    </row>
    <row r="28" spans="1:4" hidden="1" x14ac:dyDescent="0.35">
      <c r="A28" s="86" t="s">
        <v>58</v>
      </c>
      <c r="B28" s="90">
        <v>0</v>
      </c>
      <c r="C28" s="90">
        <v>0</v>
      </c>
      <c r="D28" s="87" t="e">
        <v>#DIV/0!</v>
      </c>
    </row>
    <row r="29" spans="1:4" hidden="1" x14ac:dyDescent="0.35">
      <c r="A29" s="86" t="s">
        <v>73</v>
      </c>
      <c r="B29" s="90">
        <v>0</v>
      </c>
      <c r="C29" s="90">
        <v>0</v>
      </c>
      <c r="D29" s="87" t="e">
        <v>#DIV/0!</v>
      </c>
    </row>
    <row r="30" spans="1:4" x14ac:dyDescent="0.35">
      <c r="A30" s="86" t="s">
        <v>135</v>
      </c>
      <c r="B30" s="90">
        <v>1324.0309999999999</v>
      </c>
      <c r="C30" s="90">
        <v>1627.848</v>
      </c>
      <c r="D30" s="87">
        <v>0.81336279554356428</v>
      </c>
    </row>
    <row r="31" spans="1:4" x14ac:dyDescent="0.35">
      <c r="A31" s="86" t="s">
        <v>217</v>
      </c>
      <c r="B31" s="90">
        <v>1399.16</v>
      </c>
      <c r="C31" s="90">
        <v>1470.7840000000001</v>
      </c>
      <c r="D31" s="87">
        <v>0.95130216265610723</v>
      </c>
    </row>
    <row r="32" spans="1:4" x14ac:dyDescent="0.35">
      <c r="A32" s="86" t="s">
        <v>161</v>
      </c>
      <c r="B32" s="90">
        <v>2083.3589999999999</v>
      </c>
      <c r="C32" s="90">
        <v>2543.252</v>
      </c>
      <c r="D32" s="87">
        <v>0.81917128149314344</v>
      </c>
    </row>
    <row r="33" spans="1:4" x14ac:dyDescent="0.35">
      <c r="A33" s="86" t="s">
        <v>226</v>
      </c>
      <c r="B33" s="90">
        <v>155.387</v>
      </c>
      <c r="C33" s="90">
        <v>338.61799999999999</v>
      </c>
      <c r="D33" s="87">
        <v>0.45888582414402068</v>
      </c>
    </row>
    <row r="34" spans="1:4" x14ac:dyDescent="0.35">
      <c r="A34" s="86" t="s">
        <v>222</v>
      </c>
      <c r="B34" s="90">
        <v>2657.7339999999999</v>
      </c>
      <c r="C34" s="90">
        <v>2793.2660000000001</v>
      </c>
      <c r="D34" s="87">
        <v>0.95147902133201778</v>
      </c>
    </row>
    <row r="35" spans="1:4" x14ac:dyDescent="0.35">
      <c r="A35" s="85" t="s">
        <v>118</v>
      </c>
      <c r="B35" s="90">
        <v>3232.7339999999999</v>
      </c>
      <c r="C35" s="90">
        <v>9413.777</v>
      </c>
      <c r="D35" s="87">
        <v>0.3434045654576266</v>
      </c>
    </row>
    <row r="36" spans="1:4" x14ac:dyDescent="0.35">
      <c r="A36" s="86" t="s">
        <v>110</v>
      </c>
      <c r="B36" s="90">
        <v>1045.6559999999999</v>
      </c>
      <c r="C36" s="90">
        <v>2629.6480000000001</v>
      </c>
      <c r="D36" s="87">
        <v>0.39764105309912195</v>
      </c>
    </row>
    <row r="37" spans="1:4" x14ac:dyDescent="0.35">
      <c r="A37" s="86" t="s">
        <v>114</v>
      </c>
      <c r="B37" s="90">
        <v>315.19099999999997</v>
      </c>
      <c r="C37" s="90">
        <v>369.459</v>
      </c>
      <c r="D37" s="87">
        <v>0.85311495998202769</v>
      </c>
    </row>
    <row r="38" spans="1:4" x14ac:dyDescent="0.35">
      <c r="A38" s="86" t="s">
        <v>115</v>
      </c>
      <c r="B38" s="90">
        <v>655.01099999999997</v>
      </c>
      <c r="C38" s="90">
        <v>1139.777</v>
      </c>
      <c r="D38" s="87">
        <v>0.57468346878380594</v>
      </c>
    </row>
    <row r="39" spans="1:4" x14ac:dyDescent="0.35">
      <c r="A39" s="86" t="s">
        <v>87</v>
      </c>
      <c r="B39" s="90">
        <v>49.859000000000002</v>
      </c>
      <c r="C39" s="90">
        <v>913.10299999999995</v>
      </c>
      <c r="D39" s="87">
        <v>5.4603916535155402E-2</v>
      </c>
    </row>
    <row r="40" spans="1:4" hidden="1" x14ac:dyDescent="0.35">
      <c r="A40" s="86" t="s">
        <v>95</v>
      </c>
      <c r="B40" s="90">
        <v>0</v>
      </c>
      <c r="C40" s="90">
        <v>0</v>
      </c>
      <c r="D40" s="87" t="e">
        <v>#DIV/0!</v>
      </c>
    </row>
    <row r="41" spans="1:4" hidden="1" x14ac:dyDescent="0.35">
      <c r="A41" s="86" t="s">
        <v>75</v>
      </c>
      <c r="B41" s="90">
        <v>47.814999999999998</v>
      </c>
      <c r="C41" s="90">
        <v>92.664000000000001</v>
      </c>
      <c r="D41" s="87">
        <v>0.51600405767072433</v>
      </c>
    </row>
    <row r="42" spans="1:4" x14ac:dyDescent="0.35">
      <c r="A42" s="86" t="s">
        <v>76</v>
      </c>
      <c r="B42" s="90">
        <v>136.423</v>
      </c>
      <c r="C42" s="90">
        <v>1073.7429999999999</v>
      </c>
      <c r="D42" s="87">
        <v>0.12705368044308554</v>
      </c>
    </row>
    <row r="43" spans="1:4" hidden="1" x14ac:dyDescent="0.35">
      <c r="A43" s="86" t="s">
        <v>82</v>
      </c>
      <c r="B43" s="90">
        <v>0</v>
      </c>
      <c r="C43" s="90">
        <v>0</v>
      </c>
      <c r="D43" s="87" t="e">
        <v>#DIV/0!</v>
      </c>
    </row>
    <row r="44" spans="1:4" hidden="1" x14ac:dyDescent="0.35">
      <c r="A44" s="86" t="s">
        <v>112</v>
      </c>
      <c r="B44" s="90">
        <v>421.64600000000002</v>
      </c>
      <c r="C44" s="90">
        <v>637.55600000000004</v>
      </c>
      <c r="D44" s="87">
        <v>0.66134739536605414</v>
      </c>
    </row>
    <row r="45" spans="1:4" x14ac:dyDescent="0.35">
      <c r="A45" s="86" t="s">
        <v>113</v>
      </c>
      <c r="B45" s="90">
        <v>49.137</v>
      </c>
      <c r="C45" s="90">
        <v>874.49199999999996</v>
      </c>
      <c r="D45" s="87">
        <v>5.6189193268777762E-2</v>
      </c>
    </row>
    <row r="46" spans="1:4" x14ac:dyDescent="0.35">
      <c r="A46" s="86" t="s">
        <v>47</v>
      </c>
      <c r="B46" s="90">
        <v>57.847999999999999</v>
      </c>
      <c r="C46" s="90">
        <v>299.25900000000001</v>
      </c>
      <c r="D46" s="87">
        <v>0.19330412786248699</v>
      </c>
    </row>
    <row r="47" spans="1:4" hidden="1" x14ac:dyDescent="0.35">
      <c r="A47" s="86" t="s">
        <v>64</v>
      </c>
      <c r="B47" s="90">
        <v>0</v>
      </c>
      <c r="C47" s="90">
        <v>0</v>
      </c>
      <c r="D47" s="87" t="e">
        <v>#DIV/0!</v>
      </c>
    </row>
    <row r="48" spans="1:4" hidden="1" x14ac:dyDescent="0.35">
      <c r="A48" s="86" t="s">
        <v>27</v>
      </c>
      <c r="B48" s="90">
        <v>4.6710000000000003</v>
      </c>
      <c r="C48" s="90">
        <v>257.47199999999998</v>
      </c>
      <c r="D48" s="87">
        <v>1.8141778523489936E-2</v>
      </c>
    </row>
    <row r="49" spans="1:4" x14ac:dyDescent="0.35">
      <c r="A49" s="86" t="s">
        <v>86</v>
      </c>
      <c r="B49" s="90">
        <v>26.917000000000002</v>
      </c>
      <c r="C49" s="90">
        <v>317.08600000000001</v>
      </c>
      <c r="D49" s="87">
        <v>8.4888642198015687E-2</v>
      </c>
    </row>
    <row r="50" spans="1:4" x14ac:dyDescent="0.35">
      <c r="A50" s="86" t="s">
        <v>178</v>
      </c>
      <c r="B50" s="90">
        <v>0</v>
      </c>
      <c r="C50" s="90">
        <v>20</v>
      </c>
      <c r="D50" s="87">
        <v>0</v>
      </c>
    </row>
    <row r="51" spans="1:4" ht="13.5" customHeight="1" x14ac:dyDescent="0.35">
      <c r="A51" s="86" t="s">
        <v>176</v>
      </c>
      <c r="B51" s="90">
        <v>310.65600000000001</v>
      </c>
      <c r="C51" s="90">
        <v>437.58100000000002</v>
      </c>
      <c r="D51" s="87">
        <v>0.7099394169308082</v>
      </c>
    </row>
    <row r="52" spans="1:4" x14ac:dyDescent="0.35">
      <c r="A52" s="86" t="s">
        <v>177</v>
      </c>
      <c r="B52" s="90">
        <v>111.904</v>
      </c>
      <c r="C52" s="90">
        <v>351.93700000000001</v>
      </c>
      <c r="D52" s="87">
        <v>0.31796599959651867</v>
      </c>
    </row>
    <row r="53" spans="1:4" x14ac:dyDescent="0.35">
      <c r="A53" s="85" t="s">
        <v>124</v>
      </c>
      <c r="B53" s="90">
        <v>587.65499999999997</v>
      </c>
      <c r="C53" s="90">
        <v>2906.2559999999999</v>
      </c>
      <c r="D53" s="87">
        <v>0.2022034535154508</v>
      </c>
    </row>
    <row r="54" spans="1:4" hidden="1" x14ac:dyDescent="0.35">
      <c r="A54" s="86" t="s">
        <v>100</v>
      </c>
      <c r="B54" s="90">
        <v>0</v>
      </c>
      <c r="C54" s="90">
        <v>0</v>
      </c>
      <c r="D54" s="87" t="e">
        <v>#DIV/0!</v>
      </c>
    </row>
    <row r="55" spans="1:4" hidden="1" x14ac:dyDescent="0.35">
      <c r="A55" s="86" t="s">
        <v>36</v>
      </c>
      <c r="B55" s="90">
        <v>16</v>
      </c>
      <c r="C55" s="90">
        <v>16</v>
      </c>
      <c r="D55" s="87">
        <v>1</v>
      </c>
    </row>
    <row r="56" spans="1:4" hidden="1" x14ac:dyDescent="0.35">
      <c r="A56" s="86" t="s">
        <v>51</v>
      </c>
      <c r="B56" s="90">
        <v>0</v>
      </c>
      <c r="C56" s="90">
        <v>50</v>
      </c>
      <c r="D56" s="87">
        <v>0</v>
      </c>
    </row>
    <row r="57" spans="1:4" x14ac:dyDescent="0.35">
      <c r="A57" s="86" t="s">
        <v>77</v>
      </c>
      <c r="B57" s="90">
        <v>11.407999999999999</v>
      </c>
      <c r="C57" s="90">
        <v>384.75</v>
      </c>
      <c r="D57" s="87">
        <v>2.9650422352176738E-2</v>
      </c>
    </row>
    <row r="58" spans="1:4" x14ac:dyDescent="0.35">
      <c r="A58" s="86" t="s">
        <v>50</v>
      </c>
      <c r="B58" s="90">
        <v>138</v>
      </c>
      <c r="C58" s="90">
        <v>138</v>
      </c>
      <c r="D58" s="87">
        <v>1</v>
      </c>
    </row>
    <row r="59" spans="1:4" hidden="1" x14ac:dyDescent="0.35">
      <c r="A59" s="86" t="s">
        <v>57</v>
      </c>
      <c r="B59" s="90">
        <v>8.8000000000000007</v>
      </c>
      <c r="C59" s="90">
        <v>31.477</v>
      </c>
      <c r="D59" s="87">
        <v>0.27956920926390699</v>
      </c>
    </row>
    <row r="60" spans="1:4" x14ac:dyDescent="0.35">
      <c r="A60" s="86" t="s">
        <v>25</v>
      </c>
      <c r="B60" s="90">
        <v>0</v>
      </c>
      <c r="C60" s="90">
        <v>62.72</v>
      </c>
      <c r="D60" s="87">
        <v>0</v>
      </c>
    </row>
    <row r="61" spans="1:4" x14ac:dyDescent="0.35">
      <c r="A61" s="86" t="s">
        <v>52</v>
      </c>
      <c r="B61" s="90">
        <v>21</v>
      </c>
      <c r="C61" s="90">
        <v>142.72</v>
      </c>
      <c r="D61" s="87">
        <v>0.14714125560538116</v>
      </c>
    </row>
    <row r="62" spans="1:4" x14ac:dyDescent="0.35">
      <c r="A62" s="86" t="s">
        <v>85</v>
      </c>
      <c r="B62" s="90">
        <v>10.375</v>
      </c>
      <c r="C62" s="90">
        <v>21.314999999999998</v>
      </c>
      <c r="D62" s="87">
        <v>0.4867464227070139</v>
      </c>
    </row>
    <row r="63" spans="1:4" x14ac:dyDescent="0.35">
      <c r="A63" s="86" t="s">
        <v>109</v>
      </c>
      <c r="B63" s="90">
        <v>30</v>
      </c>
      <c r="C63" s="90">
        <v>89.52000000000001</v>
      </c>
      <c r="D63" s="87">
        <v>0.33512064343163533</v>
      </c>
    </row>
    <row r="64" spans="1:4" x14ac:dyDescent="0.35">
      <c r="A64" s="86" t="s">
        <v>59</v>
      </c>
      <c r="B64" s="90">
        <v>123.38800000000001</v>
      </c>
      <c r="C64" s="90">
        <v>520.1640000000001</v>
      </c>
      <c r="D64" s="87">
        <v>0.23720980306211115</v>
      </c>
    </row>
    <row r="65" spans="1:4" x14ac:dyDescent="0.35">
      <c r="A65" s="86" t="s">
        <v>111</v>
      </c>
      <c r="B65" s="90">
        <v>73.265000000000001</v>
      </c>
      <c r="C65" s="90">
        <v>583.495</v>
      </c>
      <c r="D65" s="87">
        <v>0.12556234415033549</v>
      </c>
    </row>
    <row r="66" spans="1:4" x14ac:dyDescent="0.35">
      <c r="A66" s="86" t="s">
        <v>72</v>
      </c>
      <c r="B66" s="90">
        <v>33.186</v>
      </c>
      <c r="C66" s="90">
        <v>235.32499999999999</v>
      </c>
      <c r="D66" s="87">
        <v>0.14102199086369915</v>
      </c>
    </row>
    <row r="67" spans="1:4" hidden="1" x14ac:dyDescent="0.35">
      <c r="A67" s="86" t="s">
        <v>45</v>
      </c>
      <c r="B67" s="90">
        <v>10</v>
      </c>
      <c r="C67" s="90">
        <v>10</v>
      </c>
      <c r="D67" s="87">
        <v>1</v>
      </c>
    </row>
    <row r="68" spans="1:4" hidden="1" x14ac:dyDescent="0.35">
      <c r="A68" s="86" t="s">
        <v>70</v>
      </c>
      <c r="B68" s="90">
        <v>34.847999999999999</v>
      </c>
      <c r="C68" s="90">
        <v>250.834</v>
      </c>
      <c r="D68" s="87">
        <v>0.13892853440921088</v>
      </c>
    </row>
    <row r="69" spans="1:4" x14ac:dyDescent="0.35">
      <c r="A69" s="86" t="s">
        <v>93</v>
      </c>
      <c r="B69" s="90">
        <v>21.831</v>
      </c>
      <c r="C69" s="90">
        <v>155.762</v>
      </c>
      <c r="D69" s="87">
        <v>0.14015613564283971</v>
      </c>
    </row>
    <row r="70" spans="1:4" x14ac:dyDescent="0.35">
      <c r="A70" s="86" t="s">
        <v>174</v>
      </c>
      <c r="B70" s="90">
        <v>4.37</v>
      </c>
      <c r="C70" s="90">
        <v>53</v>
      </c>
      <c r="D70" s="87">
        <v>8.2452830188679244E-2</v>
      </c>
    </row>
    <row r="71" spans="1:4" hidden="1" x14ac:dyDescent="0.35">
      <c r="A71" s="86" t="s">
        <v>175</v>
      </c>
      <c r="B71" s="90">
        <v>51.184000000000005</v>
      </c>
      <c r="C71" s="90">
        <v>126.45400000000001</v>
      </c>
      <c r="D71" s="87">
        <v>0.40476378762237653</v>
      </c>
    </row>
    <row r="72" spans="1:4" x14ac:dyDescent="0.35">
      <c r="A72" s="86" t="s">
        <v>208</v>
      </c>
      <c r="B72" s="90">
        <v>0</v>
      </c>
      <c r="C72" s="90">
        <v>34.72</v>
      </c>
      <c r="D72" s="87">
        <v>0</v>
      </c>
    </row>
    <row r="73" spans="1:4" x14ac:dyDescent="0.35">
      <c r="A73" s="85" t="s">
        <v>123</v>
      </c>
      <c r="B73" s="90">
        <v>7020.6200000000008</v>
      </c>
      <c r="C73" s="90">
        <v>9565.58</v>
      </c>
      <c r="D73" s="87">
        <v>0.73394608586201782</v>
      </c>
    </row>
    <row r="74" spans="1:4" x14ac:dyDescent="0.35">
      <c r="A74" s="86" t="s">
        <v>37</v>
      </c>
      <c r="B74" s="90">
        <v>7020.6200000000008</v>
      </c>
      <c r="C74" s="90">
        <v>9565.58</v>
      </c>
      <c r="D74" s="87">
        <v>0.73394608586201782</v>
      </c>
    </row>
    <row r="75" spans="1:4" x14ac:dyDescent="0.35">
      <c r="A75" s="85" t="s">
        <v>120</v>
      </c>
      <c r="B75" s="90">
        <v>1855.2250000000001</v>
      </c>
      <c r="C75" s="90">
        <v>3847.4520000000002</v>
      </c>
      <c r="D75" s="87">
        <v>0.48219574929069942</v>
      </c>
    </row>
    <row r="76" spans="1:4" x14ac:dyDescent="0.35">
      <c r="A76" s="86" t="s">
        <v>78</v>
      </c>
      <c r="B76" s="90">
        <v>7.2690000000000001</v>
      </c>
      <c r="C76" s="90">
        <v>176.55199999999999</v>
      </c>
      <c r="D76" s="87">
        <v>4.1172005981240656E-2</v>
      </c>
    </row>
    <row r="77" spans="1:4" x14ac:dyDescent="0.35">
      <c r="A77" s="86" t="s">
        <v>206</v>
      </c>
      <c r="B77" s="90">
        <v>486.71</v>
      </c>
      <c r="C77" s="90">
        <v>1921.14</v>
      </c>
      <c r="D77" s="87">
        <v>0.2533443684479007</v>
      </c>
    </row>
    <row r="78" spans="1:4" x14ac:dyDescent="0.35">
      <c r="A78" s="86" t="s">
        <v>218</v>
      </c>
      <c r="B78" s="90">
        <v>585.14300000000003</v>
      </c>
      <c r="C78" s="90">
        <v>905.18700000000001</v>
      </c>
      <c r="D78" s="87">
        <v>0.64643327842755149</v>
      </c>
    </row>
    <row r="79" spans="1:4" x14ac:dyDescent="0.35">
      <c r="A79" s="86" t="s">
        <v>256</v>
      </c>
      <c r="B79" s="90">
        <v>776.10300000000007</v>
      </c>
      <c r="C79" s="90">
        <v>844.57300000000009</v>
      </c>
      <c r="D79" s="87">
        <v>0.91892944718810565</v>
      </c>
    </row>
    <row r="80" spans="1:4" x14ac:dyDescent="0.35">
      <c r="A80" s="85" t="s">
        <v>119</v>
      </c>
      <c r="B80" s="90">
        <v>2792.8679999999999</v>
      </c>
      <c r="C80" s="90">
        <v>7637.9130000000005</v>
      </c>
      <c r="D80" s="87">
        <v>0.36565852478288241</v>
      </c>
    </row>
    <row r="81" spans="1:4" x14ac:dyDescent="0.35">
      <c r="A81" s="86" t="s">
        <v>98</v>
      </c>
      <c r="B81" s="90">
        <v>491.5</v>
      </c>
      <c r="C81" s="90">
        <v>796.4</v>
      </c>
      <c r="D81" s="87">
        <v>0.61715218483174283</v>
      </c>
    </row>
    <row r="82" spans="1:4" x14ac:dyDescent="0.35">
      <c r="A82" s="86" t="s">
        <v>125</v>
      </c>
      <c r="B82" s="90">
        <v>93.16</v>
      </c>
      <c r="C82" s="90">
        <v>105.64</v>
      </c>
      <c r="D82" s="87">
        <v>0.8818629307080651</v>
      </c>
    </row>
    <row r="83" spans="1:4" x14ac:dyDescent="0.35">
      <c r="A83" s="86" t="s">
        <v>54</v>
      </c>
      <c r="B83" s="90">
        <v>192.786</v>
      </c>
      <c r="C83" s="90">
        <v>247.477</v>
      </c>
      <c r="D83" s="87">
        <v>0.77900572578461835</v>
      </c>
    </row>
    <row r="84" spans="1:4" x14ac:dyDescent="0.35">
      <c r="A84" s="86" t="s">
        <v>9</v>
      </c>
      <c r="B84" s="90">
        <v>730.84699999999998</v>
      </c>
      <c r="C84" s="90">
        <v>1047.595</v>
      </c>
      <c r="D84" s="87">
        <v>0.69764269588915562</v>
      </c>
    </row>
    <row r="85" spans="1:4" x14ac:dyDescent="0.35">
      <c r="A85" s="86" t="s">
        <v>80</v>
      </c>
      <c r="B85" s="90">
        <v>593.83699999999999</v>
      </c>
      <c r="C85" s="90">
        <v>2119.6949999999997</v>
      </c>
      <c r="D85" s="87">
        <v>0.28015209735362873</v>
      </c>
    </row>
    <row r="86" spans="1:4" hidden="1" x14ac:dyDescent="0.35">
      <c r="A86" s="86" t="s">
        <v>94</v>
      </c>
      <c r="B86" s="90">
        <v>0</v>
      </c>
      <c r="C86" s="90">
        <v>0</v>
      </c>
      <c r="D86" s="87" t="e">
        <v>#DIV/0!</v>
      </c>
    </row>
    <row r="87" spans="1:4" hidden="1" x14ac:dyDescent="0.35">
      <c r="A87" s="86" t="s">
        <v>103</v>
      </c>
      <c r="B87" s="90">
        <v>0</v>
      </c>
      <c r="C87" s="90">
        <v>0</v>
      </c>
      <c r="D87" s="87" t="e">
        <v>#DIV/0!</v>
      </c>
    </row>
    <row r="88" spans="1:4" hidden="1" x14ac:dyDescent="0.35">
      <c r="A88" s="86" t="s">
        <v>105</v>
      </c>
      <c r="B88" s="90">
        <v>0</v>
      </c>
      <c r="C88" s="90">
        <v>0</v>
      </c>
      <c r="D88" s="87" t="e">
        <v>#DIV/0!</v>
      </c>
    </row>
    <row r="89" spans="1:4" hidden="1" x14ac:dyDescent="0.35">
      <c r="A89" s="86" t="s">
        <v>19</v>
      </c>
      <c r="B89" s="90">
        <v>0</v>
      </c>
      <c r="C89" s="90">
        <v>0</v>
      </c>
      <c r="D89" s="87" t="e">
        <v>#DIV/0!</v>
      </c>
    </row>
    <row r="90" spans="1:4" hidden="1" x14ac:dyDescent="0.35">
      <c r="A90" s="86" t="s">
        <v>90</v>
      </c>
      <c r="B90" s="90">
        <v>9</v>
      </c>
      <c r="C90" s="90">
        <v>11</v>
      </c>
      <c r="D90" s="87">
        <v>0.81818181818181823</v>
      </c>
    </row>
    <row r="91" spans="1:4" hidden="1" x14ac:dyDescent="0.35">
      <c r="A91" s="86" t="s">
        <v>56</v>
      </c>
      <c r="B91" s="90">
        <v>0</v>
      </c>
      <c r="C91" s="90">
        <v>0</v>
      </c>
      <c r="D91" s="87" t="e">
        <v>#DIV/0!</v>
      </c>
    </row>
    <row r="92" spans="1:4" hidden="1" x14ac:dyDescent="0.35">
      <c r="A92" s="86" t="s">
        <v>65</v>
      </c>
      <c r="B92" s="90">
        <v>0</v>
      </c>
      <c r="C92" s="90">
        <v>0</v>
      </c>
      <c r="D92" s="87" t="e">
        <v>#DIV/0!</v>
      </c>
    </row>
    <row r="93" spans="1:4" hidden="1" x14ac:dyDescent="0.35">
      <c r="A93" s="86" t="s">
        <v>104</v>
      </c>
      <c r="B93" s="90">
        <v>0</v>
      </c>
      <c r="C93" s="90">
        <v>0</v>
      </c>
      <c r="D93" s="87" t="e">
        <v>#DIV/0!</v>
      </c>
    </row>
    <row r="94" spans="1:4" hidden="1" x14ac:dyDescent="0.35">
      <c r="A94" s="86" t="s">
        <v>30</v>
      </c>
      <c r="B94" s="90">
        <v>0</v>
      </c>
      <c r="C94" s="90">
        <v>0</v>
      </c>
      <c r="D94" s="87" t="e">
        <v>#DIV/0!</v>
      </c>
    </row>
    <row r="95" spans="1:4" hidden="1" x14ac:dyDescent="0.35">
      <c r="A95" s="86" t="s">
        <v>81</v>
      </c>
      <c r="B95" s="90">
        <v>0</v>
      </c>
      <c r="C95" s="90">
        <v>0</v>
      </c>
      <c r="D95" s="87" t="e">
        <v>#DIV/0!</v>
      </c>
    </row>
    <row r="96" spans="1:4" hidden="1" x14ac:dyDescent="0.35">
      <c r="A96" s="86" t="s">
        <v>28</v>
      </c>
      <c r="B96" s="90">
        <v>0</v>
      </c>
      <c r="C96" s="90">
        <v>0</v>
      </c>
      <c r="D96" s="87" t="e">
        <v>#DIV/0!</v>
      </c>
    </row>
    <row r="97" spans="1:4" hidden="1" x14ac:dyDescent="0.35">
      <c r="A97" s="86" t="s">
        <v>92</v>
      </c>
      <c r="B97" s="90">
        <v>219.43899999999999</v>
      </c>
      <c r="C97" s="90">
        <v>2054.893</v>
      </c>
      <c r="D97" s="87">
        <v>0.1067885286484503</v>
      </c>
    </row>
    <row r="98" spans="1:4" x14ac:dyDescent="0.35">
      <c r="A98" s="86" t="s">
        <v>63</v>
      </c>
      <c r="B98" s="90">
        <v>129.11099999999999</v>
      </c>
      <c r="C98" s="90">
        <v>481.00099999999998</v>
      </c>
      <c r="D98" s="87">
        <v>0.26842147937322375</v>
      </c>
    </row>
    <row r="99" spans="1:4" x14ac:dyDescent="0.35">
      <c r="A99" s="86" t="s">
        <v>179</v>
      </c>
      <c r="B99" s="90">
        <v>333.18799999999999</v>
      </c>
      <c r="C99" s="90">
        <v>774.21199999999999</v>
      </c>
      <c r="D99" s="87">
        <v>0.43035757647776063</v>
      </c>
    </row>
    <row r="100" spans="1:4" x14ac:dyDescent="0.35">
      <c r="A100" s="85" t="s">
        <v>122</v>
      </c>
      <c r="B100" s="90">
        <v>13746.111000000001</v>
      </c>
      <c r="C100" s="90">
        <v>34266.456000000006</v>
      </c>
      <c r="D100" s="87">
        <v>0.40115356545771758</v>
      </c>
    </row>
    <row r="101" spans="1:4" x14ac:dyDescent="0.35">
      <c r="A101" s="86" t="s">
        <v>22</v>
      </c>
      <c r="B101" s="90">
        <v>1532.5719999999999</v>
      </c>
      <c r="C101" s="90">
        <v>2012.8340000000001</v>
      </c>
      <c r="D101" s="87">
        <v>0.76140009558662058</v>
      </c>
    </row>
    <row r="102" spans="1:4" x14ac:dyDescent="0.35">
      <c r="A102" s="86" t="s">
        <v>48</v>
      </c>
      <c r="B102" s="90">
        <v>926.37699999999995</v>
      </c>
      <c r="C102" s="90">
        <v>1740.7619999999999</v>
      </c>
      <c r="D102" s="87">
        <v>0.53216752203919893</v>
      </c>
    </row>
    <row r="103" spans="1:4" x14ac:dyDescent="0.35">
      <c r="A103" s="86" t="s">
        <v>12</v>
      </c>
      <c r="B103" s="90">
        <v>5931.8029999999999</v>
      </c>
      <c r="C103" s="90">
        <v>18248.969000000001</v>
      </c>
      <c r="D103" s="87">
        <v>0.32504866439304048</v>
      </c>
    </row>
    <row r="104" spans="1:4" x14ac:dyDescent="0.35">
      <c r="A104" s="86" t="s">
        <v>23</v>
      </c>
      <c r="B104" s="90">
        <v>851.91200000000003</v>
      </c>
      <c r="C104" s="90">
        <v>1672.95</v>
      </c>
      <c r="D104" s="87">
        <v>0.50922741265429328</v>
      </c>
    </row>
    <row r="105" spans="1:4" x14ac:dyDescent="0.35">
      <c r="A105" s="86" t="s">
        <v>24</v>
      </c>
      <c r="B105" s="90">
        <v>282.47399999999999</v>
      </c>
      <c r="C105" s="90">
        <v>1320.8679999999999</v>
      </c>
      <c r="D105" s="87">
        <v>0.21385482879439885</v>
      </c>
    </row>
    <row r="106" spans="1:4" x14ac:dyDescent="0.35">
      <c r="A106" s="86" t="s">
        <v>10</v>
      </c>
      <c r="B106" s="90">
        <v>166.768</v>
      </c>
      <c r="C106" s="90">
        <v>687.822</v>
      </c>
      <c r="D106" s="87">
        <v>0.24245807781664441</v>
      </c>
    </row>
    <row r="107" spans="1:4" x14ac:dyDescent="0.35">
      <c r="A107" s="86" t="s">
        <v>16</v>
      </c>
      <c r="B107" s="90">
        <v>945.21900000000005</v>
      </c>
      <c r="C107" s="90">
        <v>1582.6310000000001</v>
      </c>
      <c r="D107" s="87">
        <v>0.59724534651475925</v>
      </c>
    </row>
    <row r="108" spans="1:4" x14ac:dyDescent="0.35">
      <c r="A108" s="86" t="s">
        <v>91</v>
      </c>
      <c r="B108" s="90">
        <v>1262.4670000000001</v>
      </c>
      <c r="C108" s="90">
        <v>2246.0909999999999</v>
      </c>
      <c r="D108" s="87">
        <v>0.56207295252062373</v>
      </c>
    </row>
    <row r="109" spans="1:4" x14ac:dyDescent="0.35">
      <c r="A109" s="86" t="s">
        <v>35</v>
      </c>
      <c r="B109" s="90">
        <v>1155.7760000000001</v>
      </c>
      <c r="C109" s="90">
        <v>1918.1089999999999</v>
      </c>
      <c r="D109" s="87">
        <v>0.60256012562372629</v>
      </c>
    </row>
    <row r="110" spans="1:4" hidden="1" x14ac:dyDescent="0.35">
      <c r="A110" s="86" t="s">
        <v>89</v>
      </c>
      <c r="B110" s="90">
        <v>0</v>
      </c>
      <c r="C110" s="90">
        <v>0</v>
      </c>
      <c r="D110" s="87" t="e">
        <v>#DIV/0!</v>
      </c>
    </row>
    <row r="111" spans="1:4" hidden="1" x14ac:dyDescent="0.35">
      <c r="A111" s="86" t="s">
        <v>67</v>
      </c>
      <c r="B111" s="90">
        <v>0</v>
      </c>
      <c r="C111" s="90">
        <v>0</v>
      </c>
      <c r="D111" s="87" t="e">
        <v>#DIV/0!</v>
      </c>
    </row>
    <row r="112" spans="1:4" hidden="1" x14ac:dyDescent="0.35">
      <c r="A112" s="86" t="s">
        <v>232</v>
      </c>
      <c r="B112" s="90">
        <v>690.74299999999994</v>
      </c>
      <c r="C112" s="90">
        <v>2835.42</v>
      </c>
      <c r="D112" s="87">
        <v>0.24361223381368544</v>
      </c>
    </row>
    <row r="113" spans="1:4" x14ac:dyDescent="0.35">
      <c r="A113" s="85" t="s">
        <v>121</v>
      </c>
      <c r="B113" s="90">
        <v>352.13500000000005</v>
      </c>
      <c r="C113" s="90">
        <v>1817.4730000000002</v>
      </c>
      <c r="D113" s="87">
        <v>0.19374978335304019</v>
      </c>
    </row>
    <row r="114" spans="1:4" x14ac:dyDescent="0.35">
      <c r="A114" s="86" t="s">
        <v>74</v>
      </c>
      <c r="B114" s="90">
        <v>93.987000000000009</v>
      </c>
      <c r="C114" s="90">
        <v>448.97400000000005</v>
      </c>
      <c r="D114" s="87">
        <v>0.20933728901896323</v>
      </c>
    </row>
    <row r="115" spans="1:4" x14ac:dyDescent="0.35">
      <c r="A115" s="86" t="s">
        <v>88</v>
      </c>
      <c r="B115" s="90">
        <v>34.463999999999999</v>
      </c>
      <c r="C115" s="90">
        <v>264.35000000000002</v>
      </c>
      <c r="D115" s="87">
        <v>0.13037261206733497</v>
      </c>
    </row>
    <row r="116" spans="1:4" x14ac:dyDescent="0.35">
      <c r="A116" s="86" t="s">
        <v>66</v>
      </c>
      <c r="B116" s="90">
        <v>24.068000000000001</v>
      </c>
      <c r="C116" s="90">
        <v>111.256</v>
      </c>
      <c r="D116" s="87">
        <v>0.21632990580283312</v>
      </c>
    </row>
    <row r="117" spans="1:4" x14ac:dyDescent="0.35">
      <c r="A117" s="86" t="s">
        <v>69</v>
      </c>
      <c r="B117" s="90">
        <v>31.626000000000001</v>
      </c>
      <c r="C117" s="90">
        <v>320.73700000000002</v>
      </c>
      <c r="D117" s="87">
        <v>9.8604152311707091E-2</v>
      </c>
    </row>
    <row r="118" spans="1:4" x14ac:dyDescent="0.35">
      <c r="A118" s="86" t="s">
        <v>71</v>
      </c>
      <c r="B118" s="90">
        <v>60.484000000000002</v>
      </c>
      <c r="C118" s="90">
        <v>214.99699999999999</v>
      </c>
      <c r="D118" s="87">
        <v>0.2813248556956609</v>
      </c>
    </row>
    <row r="119" spans="1:4" x14ac:dyDescent="0.35">
      <c r="A119" s="86" t="s">
        <v>207</v>
      </c>
      <c r="B119" s="90">
        <v>73.945999999999998</v>
      </c>
      <c r="C119" s="90">
        <v>263.95800000000003</v>
      </c>
      <c r="D119" s="87">
        <v>0.28014305306147186</v>
      </c>
    </row>
    <row r="120" spans="1:4" x14ac:dyDescent="0.35">
      <c r="A120" s="86" t="s">
        <v>209</v>
      </c>
      <c r="B120" s="90">
        <v>33.56</v>
      </c>
      <c r="C120" s="90">
        <v>193.20099999999999</v>
      </c>
      <c r="D120" s="87">
        <v>0.17370510504604014</v>
      </c>
    </row>
    <row r="121" spans="1:4" x14ac:dyDescent="0.35">
      <c r="A121" s="85" t="s">
        <v>167</v>
      </c>
      <c r="B121" s="90">
        <v>69451.998000000021</v>
      </c>
      <c r="C121" s="90">
        <v>113099.82599999999</v>
      </c>
      <c r="D121" s="87">
        <v>0.61407696595395322</v>
      </c>
    </row>
  </sheetData>
  <pageMargins left="0.7" right="0.7" top="0.75" bottom="0.75" header="0.3" footer="0.3"/>
  <pageSetup paperSize="9" orientation="portrait" horizontalDpi="4294967295" verticalDpi="4294967295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ABF67C-0BBA-4F58-BE86-E3CBD4DA53B9}">
  <dimension ref="A1:J62"/>
  <sheetViews>
    <sheetView showGridLines="0" topLeftCell="A44" workbookViewId="0">
      <selection activeCell="H6" sqref="H6"/>
    </sheetView>
  </sheetViews>
  <sheetFormatPr defaultColWidth="8.7265625" defaultRowHeight="14.5" x14ac:dyDescent="0.35"/>
  <cols>
    <col min="1" max="2" width="14.81640625" style="136" customWidth="1"/>
    <col min="3" max="3" width="54.453125" style="136" customWidth="1"/>
    <col min="4" max="4" width="17" style="136" customWidth="1"/>
    <col min="5" max="5" width="16.1796875" style="136" customWidth="1"/>
    <col min="6" max="6" width="8.1796875" style="136" customWidth="1"/>
    <col min="7" max="9" width="16.1796875" style="136" customWidth="1"/>
    <col min="10" max="11" width="13.453125" style="136" customWidth="1"/>
    <col min="12" max="16384" width="8.7265625" style="136"/>
  </cols>
  <sheetData>
    <row r="1" spans="1:10" ht="14.15" customHeight="1" x14ac:dyDescent="0.35">
      <c r="A1" s="231" t="s">
        <v>225</v>
      </c>
      <c r="B1" s="232"/>
      <c r="C1" s="232"/>
      <c r="D1" s="232"/>
      <c r="E1" s="232"/>
      <c r="F1" s="232"/>
    </row>
    <row r="2" spans="1:10" ht="14.15" customHeight="1" x14ac:dyDescent="0.35">
      <c r="A2" s="233" t="s">
        <v>267</v>
      </c>
      <c r="B2" s="232"/>
      <c r="C2" s="232"/>
      <c r="D2" s="232"/>
      <c r="E2" s="232"/>
      <c r="F2" s="232"/>
    </row>
    <row r="3" spans="1:10" ht="7.15" customHeight="1" x14ac:dyDescent="0.35"/>
    <row r="4" spans="1:10" x14ac:dyDescent="0.35">
      <c r="A4" s="207" t="s">
        <v>126</v>
      </c>
      <c r="B4" s="206" t="s">
        <v>126</v>
      </c>
      <c r="C4" s="208" t="s">
        <v>126</v>
      </c>
      <c r="D4" s="209" t="s">
        <v>126</v>
      </c>
      <c r="E4" s="234" t="s">
        <v>127</v>
      </c>
      <c r="F4" s="235"/>
      <c r="G4" s="235"/>
      <c r="H4" s="235"/>
      <c r="I4" s="236"/>
      <c r="J4" s="202" t="s">
        <v>268</v>
      </c>
    </row>
    <row r="5" spans="1:10" x14ac:dyDescent="0.35">
      <c r="A5" s="210" t="s">
        <v>223</v>
      </c>
      <c r="B5" s="211" t="s">
        <v>128</v>
      </c>
      <c r="C5" s="212" t="s">
        <v>129</v>
      </c>
      <c r="D5" s="213" t="s">
        <v>269</v>
      </c>
      <c r="E5" s="213" t="s">
        <v>2</v>
      </c>
      <c r="F5" s="213" t="s">
        <v>133</v>
      </c>
      <c r="G5" s="213" t="s">
        <v>130</v>
      </c>
      <c r="H5" s="213" t="s">
        <v>131</v>
      </c>
      <c r="I5" s="137" t="s">
        <v>132</v>
      </c>
      <c r="J5" s="214" t="s">
        <v>270</v>
      </c>
    </row>
    <row r="6" spans="1:10" x14ac:dyDescent="0.35">
      <c r="A6" s="207" t="s">
        <v>224</v>
      </c>
      <c r="B6" s="206">
        <v>200011554</v>
      </c>
      <c r="C6" s="208" t="s">
        <v>20</v>
      </c>
      <c r="D6" s="209" t="s">
        <v>271</v>
      </c>
      <c r="E6" s="215">
        <v>1384.7650000000001</v>
      </c>
      <c r="F6" s="216">
        <v>23.751999999999999</v>
      </c>
      <c r="G6" s="217">
        <v>1361.0129999999999</v>
      </c>
      <c r="H6" s="216">
        <v>1361.0129999999999</v>
      </c>
      <c r="I6" s="138">
        <v>1</v>
      </c>
      <c r="J6" s="218">
        <v>433022.03899999999</v>
      </c>
    </row>
    <row r="7" spans="1:10" x14ac:dyDescent="0.35">
      <c r="A7" s="207" t="s">
        <v>224</v>
      </c>
      <c r="B7" s="206">
        <v>200012124</v>
      </c>
      <c r="C7" s="208" t="s">
        <v>134</v>
      </c>
      <c r="D7" s="209" t="s">
        <v>126</v>
      </c>
      <c r="E7" s="215">
        <v>2804.3780000000002</v>
      </c>
      <c r="F7" s="216">
        <v>17.72</v>
      </c>
      <c r="G7" s="217">
        <v>2786.6579999999999</v>
      </c>
      <c r="H7" s="216">
        <v>2652.558</v>
      </c>
      <c r="I7" s="138">
        <v>0.95187784076840432</v>
      </c>
      <c r="J7" s="218">
        <v>888347.45799999998</v>
      </c>
    </row>
    <row r="8" spans="1:10" x14ac:dyDescent="0.35">
      <c r="A8" s="207" t="s">
        <v>224</v>
      </c>
      <c r="B8" s="206">
        <v>200012834</v>
      </c>
      <c r="C8" s="208" t="s">
        <v>3</v>
      </c>
      <c r="D8" s="209" t="s">
        <v>126</v>
      </c>
      <c r="E8" s="215">
        <v>1373.5</v>
      </c>
      <c r="F8" s="216">
        <v>18.91</v>
      </c>
      <c r="G8" s="217">
        <v>1354.59</v>
      </c>
      <c r="H8" s="216">
        <v>1084.905</v>
      </c>
      <c r="I8" s="138">
        <v>0.80091023852235732</v>
      </c>
      <c r="J8" s="218">
        <v>414033.09899999999</v>
      </c>
    </row>
    <row r="9" spans="1:10" x14ac:dyDescent="0.35">
      <c r="A9" s="207" t="s">
        <v>224</v>
      </c>
      <c r="B9" s="206">
        <v>200012841</v>
      </c>
      <c r="C9" s="208" t="s">
        <v>135</v>
      </c>
      <c r="D9" s="209" t="s">
        <v>272</v>
      </c>
      <c r="E9" s="215">
        <v>1647.616</v>
      </c>
      <c r="F9" s="216">
        <v>35.146000000000001</v>
      </c>
      <c r="G9" s="217">
        <v>1612.47</v>
      </c>
      <c r="H9" s="216">
        <v>1309.0309999999999</v>
      </c>
      <c r="I9" s="138">
        <v>0.81181727411982862</v>
      </c>
      <c r="J9" s="218">
        <v>457584.91800000001</v>
      </c>
    </row>
    <row r="10" spans="1:10" x14ac:dyDescent="0.35">
      <c r="A10" s="207" t="s">
        <v>224</v>
      </c>
      <c r="B10" s="206">
        <v>200021706</v>
      </c>
      <c r="C10" s="208" t="s">
        <v>136</v>
      </c>
      <c r="D10" s="209" t="s">
        <v>126</v>
      </c>
      <c r="E10" s="215">
        <v>1505.7739999999999</v>
      </c>
      <c r="F10" s="216">
        <v>44.99</v>
      </c>
      <c r="G10" s="217">
        <v>1460.7840000000001</v>
      </c>
      <c r="H10" s="216">
        <v>1389.16</v>
      </c>
      <c r="I10" s="138">
        <v>0.95096879483893582</v>
      </c>
      <c r="J10" s="218">
        <v>341874.57400000002</v>
      </c>
    </row>
    <row r="11" spans="1:10" x14ac:dyDescent="0.35">
      <c r="A11" s="207" t="s">
        <v>224</v>
      </c>
      <c r="B11" s="206">
        <v>200023854</v>
      </c>
      <c r="C11" s="208" t="s">
        <v>80</v>
      </c>
      <c r="D11" s="209" t="s">
        <v>126</v>
      </c>
      <c r="E11" s="215">
        <v>1988.405</v>
      </c>
      <c r="F11" s="216">
        <v>378.25</v>
      </c>
      <c r="G11" s="217">
        <v>1610.155</v>
      </c>
      <c r="H11" s="216">
        <v>519.14700000000005</v>
      </c>
      <c r="I11" s="138">
        <v>0.32242051231092661</v>
      </c>
      <c r="J11" s="218">
        <v>80596.471999999994</v>
      </c>
    </row>
    <row r="12" spans="1:10" x14ac:dyDescent="0.35">
      <c r="A12" s="207" t="s">
        <v>224</v>
      </c>
      <c r="B12" s="206">
        <v>200025919</v>
      </c>
      <c r="C12" s="208" t="s">
        <v>4</v>
      </c>
      <c r="D12" s="209" t="s">
        <v>126</v>
      </c>
      <c r="E12" s="215">
        <v>1662.134</v>
      </c>
      <c r="F12" s="216">
        <v>40.630000000000003</v>
      </c>
      <c r="G12" s="217">
        <v>1621.5039999999999</v>
      </c>
      <c r="H12" s="216">
        <v>1618.434</v>
      </c>
      <c r="I12" s="138">
        <v>0.99810669600568358</v>
      </c>
      <c r="J12" s="218">
        <v>475907.09100000001</v>
      </c>
    </row>
    <row r="13" spans="1:10" x14ac:dyDescent="0.35">
      <c r="A13" s="207" t="s">
        <v>224</v>
      </c>
      <c r="B13" s="206">
        <v>200025926</v>
      </c>
      <c r="C13" s="208" t="s">
        <v>5</v>
      </c>
      <c r="D13" s="209" t="s">
        <v>126</v>
      </c>
      <c r="E13" s="215">
        <v>2699.665</v>
      </c>
      <c r="F13" s="216">
        <v>95.174000000000007</v>
      </c>
      <c r="G13" s="217">
        <v>2604.491</v>
      </c>
      <c r="H13" s="216">
        <v>2294.2860000000001</v>
      </c>
      <c r="I13" s="138">
        <v>0.88089611367441856</v>
      </c>
      <c r="J13" s="218">
        <v>606509.95400000003</v>
      </c>
    </row>
    <row r="14" spans="1:10" x14ac:dyDescent="0.35">
      <c r="A14" s="207" t="s">
        <v>224</v>
      </c>
      <c r="B14" s="206">
        <v>200031514</v>
      </c>
      <c r="C14" s="208" t="s">
        <v>137</v>
      </c>
      <c r="D14" s="209" t="s">
        <v>126</v>
      </c>
      <c r="E14" s="215">
        <v>2174.3910000000001</v>
      </c>
      <c r="F14" s="216">
        <v>19.3</v>
      </c>
      <c r="G14" s="217">
        <v>2155.0909999999999</v>
      </c>
      <c r="H14" s="216">
        <v>1262.4670000000001</v>
      </c>
      <c r="I14" s="138">
        <v>0.58580681743833551</v>
      </c>
      <c r="J14" s="218">
        <v>292202.19799999997</v>
      </c>
    </row>
    <row r="15" spans="1:10" x14ac:dyDescent="0.35">
      <c r="A15" s="207" t="s">
        <v>224</v>
      </c>
      <c r="B15" s="206">
        <v>200031620</v>
      </c>
      <c r="C15" s="208" t="s">
        <v>138</v>
      </c>
      <c r="D15" s="209" t="s">
        <v>126</v>
      </c>
      <c r="E15" s="215">
        <v>946.40899999999999</v>
      </c>
      <c r="F15" s="216">
        <v>156.80000000000001</v>
      </c>
      <c r="G15" s="217">
        <v>789.60900000000004</v>
      </c>
      <c r="H15" s="216">
        <v>766.86300000000006</v>
      </c>
      <c r="I15" s="138">
        <v>0.97119333746195902</v>
      </c>
      <c r="J15" s="218">
        <v>321648.57</v>
      </c>
    </row>
    <row r="16" spans="1:10" x14ac:dyDescent="0.35">
      <c r="A16" s="207" t="s">
        <v>224</v>
      </c>
      <c r="B16" s="206">
        <v>200031637</v>
      </c>
      <c r="C16" s="208" t="s">
        <v>139</v>
      </c>
      <c r="D16" s="209" t="s">
        <v>126</v>
      </c>
      <c r="E16" s="215">
        <v>573.93499999999995</v>
      </c>
      <c r="F16" s="216">
        <v>16.600000000000001</v>
      </c>
      <c r="G16" s="217">
        <v>557.33500000000004</v>
      </c>
      <c r="H16" s="216">
        <v>73.265000000000001</v>
      </c>
      <c r="I16" s="138">
        <v>0.1314559466030305</v>
      </c>
      <c r="J16" s="218">
        <v>18682.407999999999</v>
      </c>
    </row>
    <row r="17" spans="1:10" x14ac:dyDescent="0.35">
      <c r="A17" s="207" t="s">
        <v>224</v>
      </c>
      <c r="B17" s="206">
        <v>200034485</v>
      </c>
      <c r="C17" s="208" t="s">
        <v>6</v>
      </c>
      <c r="D17" s="209" t="s">
        <v>126</v>
      </c>
      <c r="E17" s="215">
        <v>1367.2660000000001</v>
      </c>
      <c r="F17" s="216">
        <v>63.74</v>
      </c>
      <c r="G17" s="217">
        <v>1303.5260000000001</v>
      </c>
      <c r="H17" s="216">
        <v>1295.701</v>
      </c>
      <c r="I17" s="138">
        <v>0.99399705107531422</v>
      </c>
      <c r="J17" s="218">
        <v>195051.04</v>
      </c>
    </row>
    <row r="18" spans="1:10" x14ac:dyDescent="0.35">
      <c r="A18" s="207" t="s">
        <v>224</v>
      </c>
      <c r="B18" s="206">
        <v>200039428</v>
      </c>
      <c r="C18" s="208" t="s">
        <v>210</v>
      </c>
      <c r="D18" s="209" t="s">
        <v>126</v>
      </c>
      <c r="E18" s="215">
        <v>853.98699999999997</v>
      </c>
      <c r="F18" s="216">
        <v>4.8</v>
      </c>
      <c r="G18" s="217">
        <v>849.18700000000001</v>
      </c>
      <c r="H18" s="216">
        <v>555.14300000000003</v>
      </c>
      <c r="I18" s="138">
        <v>0.65373468976797811</v>
      </c>
      <c r="J18" s="218">
        <v>127527.96</v>
      </c>
    </row>
    <row r="19" spans="1:10" x14ac:dyDescent="0.35">
      <c r="A19" s="207" t="s">
        <v>224</v>
      </c>
      <c r="B19" s="206">
        <v>200040189</v>
      </c>
      <c r="C19" s="208" t="s">
        <v>7</v>
      </c>
      <c r="D19" s="209" t="s">
        <v>126</v>
      </c>
      <c r="E19" s="215">
        <v>1150.5519999999999</v>
      </c>
      <c r="F19" s="216">
        <v>36.24</v>
      </c>
      <c r="G19" s="217">
        <v>1114.3119999999999</v>
      </c>
      <c r="H19" s="216">
        <v>1014.27</v>
      </c>
      <c r="I19" s="138">
        <v>0.91022083581618074</v>
      </c>
      <c r="J19" s="218">
        <v>190570.46799999999</v>
      </c>
    </row>
    <row r="20" spans="1:10" x14ac:dyDescent="0.35">
      <c r="A20" s="207" t="s">
        <v>224</v>
      </c>
      <c r="B20" s="206">
        <v>200040875</v>
      </c>
      <c r="C20" s="208" t="s">
        <v>140</v>
      </c>
      <c r="D20" s="209" t="s">
        <v>126</v>
      </c>
      <c r="E20" s="215">
        <v>1562.269</v>
      </c>
      <c r="F20" s="216">
        <v>30.85</v>
      </c>
      <c r="G20" s="217">
        <v>1531.4190000000001</v>
      </c>
      <c r="H20" s="216">
        <v>1440.221</v>
      </c>
      <c r="I20" s="138">
        <v>0.94044869496852268</v>
      </c>
      <c r="J20" s="218">
        <v>390291.40899999999</v>
      </c>
    </row>
    <row r="21" spans="1:10" x14ac:dyDescent="0.35">
      <c r="A21" s="207" t="s">
        <v>224</v>
      </c>
      <c r="B21" s="206">
        <v>200041414</v>
      </c>
      <c r="C21" s="208" t="s">
        <v>141</v>
      </c>
      <c r="D21" s="209" t="s">
        <v>126</v>
      </c>
      <c r="E21" s="215">
        <v>1787.2840000000001</v>
      </c>
      <c r="F21" s="216">
        <v>48.65</v>
      </c>
      <c r="G21" s="217">
        <v>1738.634</v>
      </c>
      <c r="H21" s="216">
        <v>1571.606</v>
      </c>
      <c r="I21" s="138">
        <v>0.90393147724017819</v>
      </c>
      <c r="J21" s="218">
        <v>637089.82999999996</v>
      </c>
    </row>
    <row r="22" spans="1:10" x14ac:dyDescent="0.35">
      <c r="A22" s="207" t="s">
        <v>224</v>
      </c>
      <c r="B22" s="206">
        <v>200042435</v>
      </c>
      <c r="C22" s="208" t="s">
        <v>142</v>
      </c>
      <c r="D22" s="209" t="s">
        <v>126</v>
      </c>
      <c r="E22" s="215">
        <v>2146.7199999999998</v>
      </c>
      <c r="F22" s="216">
        <v>225.58</v>
      </c>
      <c r="G22" s="217">
        <v>1921.14</v>
      </c>
      <c r="H22" s="216">
        <v>486.71</v>
      </c>
      <c r="I22" s="138">
        <v>0.2533443684479007</v>
      </c>
      <c r="J22" s="218">
        <v>118549.09</v>
      </c>
    </row>
    <row r="23" spans="1:10" x14ac:dyDescent="0.35">
      <c r="A23" s="207" t="s">
        <v>224</v>
      </c>
      <c r="B23" s="206">
        <v>200042992</v>
      </c>
      <c r="C23" s="208" t="s">
        <v>143</v>
      </c>
      <c r="D23" s="209" t="s">
        <v>126</v>
      </c>
      <c r="E23" s="215">
        <v>1312.9059999999999</v>
      </c>
      <c r="F23" s="216">
        <v>240</v>
      </c>
      <c r="G23" s="217">
        <v>1072.9059999999999</v>
      </c>
      <c r="H23" s="216">
        <v>632.76400000000001</v>
      </c>
      <c r="I23" s="138">
        <v>0.58976648466874082</v>
      </c>
      <c r="J23" s="218">
        <v>269565.424</v>
      </c>
    </row>
    <row r="24" spans="1:10" x14ac:dyDescent="0.35">
      <c r="A24" s="207" t="s">
        <v>224</v>
      </c>
      <c r="B24" s="206">
        <v>200043647</v>
      </c>
      <c r="C24" s="208" t="s">
        <v>144</v>
      </c>
      <c r="D24" s="209" t="s">
        <v>126</v>
      </c>
      <c r="E24" s="215">
        <v>606.46199999999999</v>
      </c>
      <c r="F24" s="216">
        <v>0</v>
      </c>
      <c r="G24" s="217">
        <v>606.46199999999999</v>
      </c>
      <c r="H24" s="216">
        <v>31.195</v>
      </c>
      <c r="I24" s="138">
        <v>5.1437682822666551E-2</v>
      </c>
      <c r="J24" s="218">
        <v>22000.9</v>
      </c>
    </row>
    <row r="25" spans="1:10" x14ac:dyDescent="0.35">
      <c r="A25" s="207" t="s">
        <v>224</v>
      </c>
      <c r="B25" s="206">
        <v>200044538</v>
      </c>
      <c r="C25" s="208" t="s">
        <v>145</v>
      </c>
      <c r="D25" s="209" t="s">
        <v>126</v>
      </c>
      <c r="E25" s="215">
        <v>650.85599999999999</v>
      </c>
      <c r="F25" s="216">
        <v>13.3</v>
      </c>
      <c r="G25" s="217">
        <v>637.55600000000004</v>
      </c>
      <c r="H25" s="216">
        <v>421.64600000000002</v>
      </c>
      <c r="I25" s="138">
        <v>0.66134739536605414</v>
      </c>
      <c r="J25" s="218">
        <v>92195.96</v>
      </c>
    </row>
    <row r="26" spans="1:10" x14ac:dyDescent="0.35">
      <c r="A26" s="207" t="s">
        <v>224</v>
      </c>
      <c r="B26" s="206">
        <v>200049625</v>
      </c>
      <c r="C26" s="208" t="s">
        <v>8</v>
      </c>
      <c r="D26" s="209" t="s">
        <v>126</v>
      </c>
      <c r="E26" s="215">
        <v>1787.8810000000001</v>
      </c>
      <c r="F26" s="216">
        <v>4.2</v>
      </c>
      <c r="G26" s="217">
        <v>1783.681</v>
      </c>
      <c r="H26" s="216">
        <v>1774.126</v>
      </c>
      <c r="I26" s="138">
        <v>0.99464310041986204</v>
      </c>
      <c r="J26" s="218">
        <v>646276.60499999998</v>
      </c>
    </row>
    <row r="27" spans="1:10" x14ac:dyDescent="0.35">
      <c r="A27" s="207" t="s">
        <v>224</v>
      </c>
      <c r="B27" s="206">
        <v>200050751</v>
      </c>
      <c r="C27" s="208" t="s">
        <v>146</v>
      </c>
      <c r="D27" s="209" t="s">
        <v>126</v>
      </c>
      <c r="E27" s="215">
        <v>519.38499999999999</v>
      </c>
      <c r="F27" s="216">
        <v>0</v>
      </c>
      <c r="G27" s="217">
        <v>519.38499999999999</v>
      </c>
      <c r="H27" s="216">
        <v>506.142</v>
      </c>
      <c r="I27" s="138">
        <v>0.97450253665392728</v>
      </c>
      <c r="J27" s="218">
        <v>139501.155</v>
      </c>
    </row>
    <row r="28" spans="1:10" x14ac:dyDescent="0.35">
      <c r="A28" s="207" t="s">
        <v>224</v>
      </c>
      <c r="B28" s="206">
        <v>200055084</v>
      </c>
      <c r="C28" s="208" t="s">
        <v>147</v>
      </c>
      <c r="D28" s="209" t="s">
        <v>126</v>
      </c>
      <c r="E28" s="215">
        <v>252.40799999999999</v>
      </c>
      <c r="F28" s="216">
        <v>1.6</v>
      </c>
      <c r="G28" s="217">
        <v>250.80799999999999</v>
      </c>
      <c r="H28" s="216">
        <v>211.31399999999999</v>
      </c>
      <c r="I28" s="138">
        <v>0.84253293355873815</v>
      </c>
      <c r="J28" s="218">
        <v>69001.824999999997</v>
      </c>
    </row>
    <row r="29" spans="1:10" x14ac:dyDescent="0.35">
      <c r="A29" s="207" t="s">
        <v>224</v>
      </c>
      <c r="B29" s="206">
        <v>200079202</v>
      </c>
      <c r="C29" s="208" t="s">
        <v>148</v>
      </c>
      <c r="D29" s="209" t="s">
        <v>126</v>
      </c>
      <c r="E29" s="215">
        <v>1681.479</v>
      </c>
      <c r="F29" s="216">
        <v>0</v>
      </c>
      <c r="G29" s="217">
        <v>1681.479</v>
      </c>
      <c r="H29" s="216">
        <v>1526.3009999999999</v>
      </c>
      <c r="I29" s="138">
        <v>0.90771338803517621</v>
      </c>
      <c r="J29" s="218">
        <v>47542.8</v>
      </c>
    </row>
    <row r="30" spans="1:10" x14ac:dyDescent="0.35">
      <c r="A30" s="207" t="s">
        <v>224</v>
      </c>
      <c r="B30" s="206">
        <v>200095578</v>
      </c>
      <c r="C30" s="208" t="s">
        <v>149</v>
      </c>
      <c r="D30" s="209" t="s">
        <v>126</v>
      </c>
      <c r="E30" s="215">
        <v>13.555999999999999</v>
      </c>
      <c r="F30" s="216">
        <v>2.85</v>
      </c>
      <c r="G30" s="217">
        <v>10.706</v>
      </c>
      <c r="H30" s="216">
        <v>0</v>
      </c>
      <c r="I30" s="138">
        <v>0</v>
      </c>
      <c r="J30" s="218">
        <v>0</v>
      </c>
    </row>
    <row r="31" spans="1:10" x14ac:dyDescent="0.35">
      <c r="A31" s="207" t="s">
        <v>224</v>
      </c>
      <c r="B31" s="206">
        <v>200106717</v>
      </c>
      <c r="C31" s="208" t="s">
        <v>150</v>
      </c>
      <c r="D31" s="209" t="s">
        <v>126</v>
      </c>
      <c r="E31" s="215">
        <v>581.19200000000001</v>
      </c>
      <c r="F31" s="216">
        <v>0</v>
      </c>
      <c r="G31" s="217">
        <v>581.19200000000001</v>
      </c>
      <c r="H31" s="216">
        <v>215.54</v>
      </c>
      <c r="I31" s="138">
        <v>0.37085851147297277</v>
      </c>
      <c r="J31" s="218">
        <v>59427.527999999998</v>
      </c>
    </row>
    <row r="32" spans="1:10" x14ac:dyDescent="0.35">
      <c r="A32" s="207" t="s">
        <v>224</v>
      </c>
      <c r="B32" s="206">
        <v>200107653</v>
      </c>
      <c r="C32" s="208" t="s">
        <v>151</v>
      </c>
      <c r="D32" s="209" t="s">
        <v>126</v>
      </c>
      <c r="E32" s="215">
        <v>766.56600000000003</v>
      </c>
      <c r="F32" s="216">
        <v>8.0549999999999997</v>
      </c>
      <c r="G32" s="217">
        <v>758.51099999999997</v>
      </c>
      <c r="H32" s="216">
        <v>663.35699999999997</v>
      </c>
      <c r="I32" s="138">
        <v>0.87455158857287496</v>
      </c>
      <c r="J32" s="218">
        <v>294463.435</v>
      </c>
    </row>
    <row r="33" spans="1:10" x14ac:dyDescent="0.35">
      <c r="A33" s="207" t="s">
        <v>224</v>
      </c>
      <c r="B33" s="206">
        <v>200135519</v>
      </c>
      <c r="C33" s="208" t="s">
        <v>79</v>
      </c>
      <c r="D33" s="209" t="s">
        <v>126</v>
      </c>
      <c r="E33" s="215">
        <v>1109.2249999999999</v>
      </c>
      <c r="F33" s="216">
        <v>23.245999999999999</v>
      </c>
      <c r="G33" s="217">
        <v>1085.979</v>
      </c>
      <c r="H33" s="216">
        <v>983.39400000000001</v>
      </c>
      <c r="I33" s="138">
        <v>0.90553684739760165</v>
      </c>
      <c r="J33" s="218">
        <v>283615.95299999998</v>
      </c>
    </row>
    <row r="34" spans="1:10" x14ac:dyDescent="0.35">
      <c r="A34" s="207" t="s">
        <v>224</v>
      </c>
      <c r="B34" s="206">
        <v>200137940</v>
      </c>
      <c r="C34" s="208" t="s">
        <v>17</v>
      </c>
      <c r="D34" s="209" t="s">
        <v>126</v>
      </c>
      <c r="E34" s="215">
        <v>1546.413</v>
      </c>
      <c r="F34" s="216">
        <v>27.163</v>
      </c>
      <c r="G34" s="217">
        <v>1519.25</v>
      </c>
      <c r="H34" s="216">
        <v>1407.67</v>
      </c>
      <c r="I34" s="138">
        <v>0.92655586638143816</v>
      </c>
      <c r="J34" s="218">
        <v>300077.16200000001</v>
      </c>
    </row>
    <row r="35" spans="1:10" x14ac:dyDescent="0.35">
      <c r="A35" s="207" t="s">
        <v>224</v>
      </c>
      <c r="B35" s="206">
        <v>200138510</v>
      </c>
      <c r="C35" s="208" t="s">
        <v>11</v>
      </c>
      <c r="D35" s="209" t="s">
        <v>126</v>
      </c>
      <c r="E35" s="215">
        <v>1180.308</v>
      </c>
      <c r="F35" s="216">
        <v>29.12</v>
      </c>
      <c r="G35" s="217">
        <v>1151.1880000000001</v>
      </c>
      <c r="H35" s="216">
        <v>1149.0329999999999</v>
      </c>
      <c r="I35" s="138">
        <v>0.99812802079243357</v>
      </c>
      <c r="J35" s="218">
        <v>486494.74900000001</v>
      </c>
    </row>
    <row r="36" spans="1:10" x14ac:dyDescent="0.35">
      <c r="A36" s="207" t="s">
        <v>224</v>
      </c>
      <c r="B36" s="206">
        <v>200140049</v>
      </c>
      <c r="C36" s="208" t="s">
        <v>18</v>
      </c>
      <c r="D36" s="209" t="s">
        <v>126</v>
      </c>
      <c r="E36" s="215">
        <v>589.59900000000005</v>
      </c>
      <c r="F36" s="216">
        <v>4.03</v>
      </c>
      <c r="G36" s="217">
        <v>585.56899999999996</v>
      </c>
      <c r="H36" s="216">
        <v>441.99400000000003</v>
      </c>
      <c r="I36" s="138">
        <v>0.75481113241991982</v>
      </c>
      <c r="J36" s="218">
        <v>164115.20199999999</v>
      </c>
    </row>
    <row r="37" spans="1:10" x14ac:dyDescent="0.35">
      <c r="A37" s="207" t="s">
        <v>224</v>
      </c>
      <c r="B37" s="206">
        <v>200140070</v>
      </c>
      <c r="C37" s="208" t="s">
        <v>152</v>
      </c>
      <c r="D37" s="209" t="s">
        <v>126</v>
      </c>
      <c r="E37" s="215">
        <v>1554.31</v>
      </c>
      <c r="F37" s="216">
        <v>50.91</v>
      </c>
      <c r="G37" s="217">
        <v>1503.4</v>
      </c>
      <c r="H37" s="216">
        <v>1332.011</v>
      </c>
      <c r="I37" s="138">
        <v>0.88599906877743784</v>
      </c>
      <c r="J37" s="218">
        <v>455899.46299999999</v>
      </c>
    </row>
    <row r="38" spans="1:10" x14ac:dyDescent="0.35">
      <c r="A38" s="207" t="s">
        <v>224</v>
      </c>
      <c r="B38" s="206">
        <v>200141541</v>
      </c>
      <c r="C38" s="208" t="s">
        <v>46</v>
      </c>
      <c r="D38" s="209" t="s">
        <v>126</v>
      </c>
      <c r="E38" s="215">
        <v>1446.059</v>
      </c>
      <c r="F38" s="216">
        <v>63.62</v>
      </c>
      <c r="G38" s="217">
        <v>1382.4390000000001</v>
      </c>
      <c r="H38" s="216">
        <v>1210.201</v>
      </c>
      <c r="I38" s="138">
        <v>0.87541005425917529</v>
      </c>
      <c r="J38" s="218">
        <v>374783.57799999998</v>
      </c>
    </row>
    <row r="39" spans="1:10" x14ac:dyDescent="0.35">
      <c r="A39" s="207" t="s">
        <v>224</v>
      </c>
      <c r="B39" s="206">
        <v>200159577</v>
      </c>
      <c r="C39" s="208" t="s">
        <v>153</v>
      </c>
      <c r="D39" s="209" t="s">
        <v>126</v>
      </c>
      <c r="E39" s="215">
        <v>2957.6979999999999</v>
      </c>
      <c r="F39" s="216">
        <v>73.790000000000006</v>
      </c>
      <c r="G39" s="217">
        <v>2883.9079999999999</v>
      </c>
      <c r="H39" s="216">
        <v>2817.0720000000001</v>
      </c>
      <c r="I39" s="138">
        <v>0.9768245034168912</v>
      </c>
      <c r="J39" s="218">
        <v>1131709.4939999999</v>
      </c>
    </row>
    <row r="40" spans="1:10" x14ac:dyDescent="0.35">
      <c r="A40" s="207" t="s">
        <v>224</v>
      </c>
      <c r="B40" s="206">
        <v>200159676</v>
      </c>
      <c r="C40" s="208" t="s">
        <v>211</v>
      </c>
      <c r="D40" s="209" t="s">
        <v>126</v>
      </c>
      <c r="E40" s="215">
        <v>300.60500000000002</v>
      </c>
      <c r="F40" s="216">
        <v>0</v>
      </c>
      <c r="G40" s="217">
        <v>300.60500000000002</v>
      </c>
      <c r="H40" s="216">
        <v>64.632000000000005</v>
      </c>
      <c r="I40" s="138">
        <v>0.2150064037524326</v>
      </c>
      <c r="J40" s="218">
        <v>21455.200000000001</v>
      </c>
    </row>
    <row r="41" spans="1:10" x14ac:dyDescent="0.35">
      <c r="A41" s="207" t="s">
        <v>224</v>
      </c>
      <c r="B41" s="206">
        <v>200182711</v>
      </c>
      <c r="C41" s="208" t="s">
        <v>154</v>
      </c>
      <c r="D41" s="209" t="s">
        <v>126</v>
      </c>
      <c r="E41" s="215">
        <v>25.571999999999999</v>
      </c>
      <c r="F41" s="216">
        <v>0</v>
      </c>
      <c r="G41" s="217">
        <v>25.571999999999999</v>
      </c>
      <c r="H41" s="216">
        <v>14.246</v>
      </c>
      <c r="I41" s="138">
        <v>0.55709369623025184</v>
      </c>
      <c r="J41" s="218">
        <v>12728.46</v>
      </c>
    </row>
    <row r="42" spans="1:10" x14ac:dyDescent="0.35">
      <c r="A42" s="207" t="s">
        <v>224</v>
      </c>
      <c r="B42" s="206">
        <v>200220246</v>
      </c>
      <c r="C42" s="208" t="s">
        <v>230</v>
      </c>
      <c r="D42" s="209" t="s">
        <v>126</v>
      </c>
      <c r="E42" s="215">
        <v>30.079000000000001</v>
      </c>
      <c r="F42" s="216">
        <v>0</v>
      </c>
      <c r="G42" s="217">
        <v>30.079000000000001</v>
      </c>
      <c r="H42" s="216">
        <v>25.853999999999999</v>
      </c>
      <c r="I42" s="138">
        <v>0.85953655374181326</v>
      </c>
      <c r="J42" s="218">
        <v>0</v>
      </c>
    </row>
    <row r="43" spans="1:10" x14ac:dyDescent="0.35">
      <c r="A43" s="207" t="s">
        <v>224</v>
      </c>
      <c r="B43" s="206">
        <v>200221267</v>
      </c>
      <c r="C43" s="208" t="s">
        <v>273</v>
      </c>
      <c r="D43" s="209" t="s">
        <v>126</v>
      </c>
      <c r="E43" s="215">
        <v>1069.2850000000001</v>
      </c>
      <c r="F43" s="216">
        <v>18</v>
      </c>
      <c r="G43" s="217">
        <v>1051.2850000000001</v>
      </c>
      <c r="H43" s="216">
        <v>309.68700000000001</v>
      </c>
      <c r="I43" s="138">
        <v>0.29457949081362333</v>
      </c>
      <c r="J43" s="218">
        <v>103593.26</v>
      </c>
    </row>
    <row r="44" spans="1:10" x14ac:dyDescent="0.35">
      <c r="A44" s="207" t="s">
        <v>224</v>
      </c>
      <c r="B44" s="206">
        <v>200225982</v>
      </c>
      <c r="C44" s="208" t="s">
        <v>246</v>
      </c>
      <c r="D44" s="209" t="s">
        <v>126</v>
      </c>
      <c r="E44" s="215">
        <v>138</v>
      </c>
      <c r="F44" s="216">
        <v>0</v>
      </c>
      <c r="G44" s="217">
        <v>138</v>
      </c>
      <c r="H44" s="216">
        <v>138</v>
      </c>
      <c r="I44" s="138">
        <v>1</v>
      </c>
      <c r="J44" s="218">
        <v>37812</v>
      </c>
    </row>
    <row r="45" spans="1:10" x14ac:dyDescent="0.35">
      <c r="A45" s="207" t="s">
        <v>224</v>
      </c>
      <c r="B45" s="206">
        <v>200230108</v>
      </c>
      <c r="C45" s="208" t="s">
        <v>253</v>
      </c>
      <c r="D45" s="209" t="s">
        <v>126</v>
      </c>
      <c r="E45" s="215">
        <v>1726.367</v>
      </c>
      <c r="F45" s="216">
        <v>34.5</v>
      </c>
      <c r="G45" s="217">
        <v>1691.867</v>
      </c>
      <c r="H45" s="216">
        <v>381.05599999999998</v>
      </c>
      <c r="I45" s="138">
        <v>0.22522810599178303</v>
      </c>
      <c r="J45" s="218">
        <v>153241.93</v>
      </c>
    </row>
    <row r="46" spans="1:10" x14ac:dyDescent="0.35">
      <c r="A46" s="207" t="s">
        <v>224</v>
      </c>
      <c r="B46" s="206">
        <v>200512464</v>
      </c>
      <c r="C46" s="208" t="s">
        <v>15</v>
      </c>
      <c r="D46" s="209" t="s">
        <v>126</v>
      </c>
      <c r="E46" s="215">
        <v>1615.8130000000001</v>
      </c>
      <c r="F46" s="216">
        <v>37.78</v>
      </c>
      <c r="G46" s="217">
        <v>1578.0329999999999</v>
      </c>
      <c r="H46" s="216">
        <v>1558.0329999999999</v>
      </c>
      <c r="I46" s="138">
        <v>0.98732599381635233</v>
      </c>
      <c r="J46" s="218">
        <v>369825.29800000001</v>
      </c>
    </row>
    <row r="47" spans="1:10" x14ac:dyDescent="0.35">
      <c r="A47" s="207" t="s">
        <v>224</v>
      </c>
      <c r="B47" s="206">
        <v>200514277</v>
      </c>
      <c r="C47" s="208" t="s">
        <v>97</v>
      </c>
      <c r="D47" s="209" t="s">
        <v>274</v>
      </c>
      <c r="E47" s="215">
        <v>1252.9839999999999</v>
      </c>
      <c r="F47" s="216">
        <v>39.43</v>
      </c>
      <c r="G47" s="217">
        <v>1213.5540000000001</v>
      </c>
      <c r="H47" s="216">
        <v>1124.9090000000001</v>
      </c>
      <c r="I47" s="138">
        <v>0.92695421876570805</v>
      </c>
      <c r="J47" s="218">
        <v>312889.342</v>
      </c>
    </row>
    <row r="48" spans="1:10" x14ac:dyDescent="0.35">
      <c r="A48" s="207" t="s">
        <v>224</v>
      </c>
      <c r="B48" s="206">
        <v>200525099</v>
      </c>
      <c r="C48" s="208" t="s">
        <v>155</v>
      </c>
      <c r="D48" s="209" t="s">
        <v>275</v>
      </c>
      <c r="E48" s="215">
        <v>1139.777</v>
      </c>
      <c r="F48" s="216">
        <v>0</v>
      </c>
      <c r="G48" s="217">
        <v>1139.777</v>
      </c>
      <c r="H48" s="216">
        <v>655.01099999999997</v>
      </c>
      <c r="I48" s="138">
        <v>0.57468346878380594</v>
      </c>
      <c r="J48" s="218">
        <v>179205.386</v>
      </c>
    </row>
    <row r="49" spans="1:10" x14ac:dyDescent="0.35">
      <c r="A49" s="207" t="s">
        <v>224</v>
      </c>
      <c r="B49" s="206">
        <v>200531038</v>
      </c>
      <c r="C49" s="208" t="s">
        <v>157</v>
      </c>
      <c r="D49" s="209" t="s">
        <v>276</v>
      </c>
      <c r="E49" s="215">
        <v>7812.5990000000002</v>
      </c>
      <c r="F49" s="216">
        <v>508.41</v>
      </c>
      <c r="G49" s="217">
        <v>7304.1890000000003</v>
      </c>
      <c r="H49" s="216">
        <v>5242.3190000000004</v>
      </c>
      <c r="I49" s="138">
        <v>0.71771404053208376</v>
      </c>
      <c r="J49" s="218">
        <v>1685522.2185</v>
      </c>
    </row>
    <row r="50" spans="1:10" x14ac:dyDescent="0.35">
      <c r="A50" s="207" t="s">
        <v>224</v>
      </c>
      <c r="B50" s="206">
        <v>200536200</v>
      </c>
      <c r="C50" s="208" t="s">
        <v>158</v>
      </c>
      <c r="D50" s="209" t="s">
        <v>277</v>
      </c>
      <c r="E50" s="215">
        <v>1710.0409999999999</v>
      </c>
      <c r="F50" s="216">
        <v>158.91</v>
      </c>
      <c r="G50" s="217">
        <v>1551.1310000000001</v>
      </c>
      <c r="H50" s="216">
        <v>920.01900000000001</v>
      </c>
      <c r="I50" s="138">
        <v>0.59312785316004901</v>
      </c>
      <c r="J50" s="218">
        <v>324419.27500000002</v>
      </c>
    </row>
    <row r="51" spans="1:10" x14ac:dyDescent="0.35">
      <c r="A51" s="207" t="s">
        <v>224</v>
      </c>
      <c r="B51" s="206">
        <v>200536224</v>
      </c>
      <c r="C51" s="208" t="s">
        <v>212</v>
      </c>
      <c r="D51" s="209" t="s">
        <v>278</v>
      </c>
      <c r="E51" s="215">
        <v>1889.8589999999999</v>
      </c>
      <c r="F51" s="216">
        <v>1.75</v>
      </c>
      <c r="G51" s="217">
        <v>1888.1089999999999</v>
      </c>
      <c r="H51" s="216">
        <v>1094.7760000000001</v>
      </c>
      <c r="I51" s="138">
        <v>0.57982669432749911</v>
      </c>
      <c r="J51" s="218">
        <v>390681.63299999997</v>
      </c>
    </row>
    <row r="52" spans="1:10" x14ac:dyDescent="0.35">
      <c r="A52" s="207" t="s">
        <v>224</v>
      </c>
      <c r="B52" s="206">
        <v>200536248</v>
      </c>
      <c r="C52" s="208" t="s">
        <v>159</v>
      </c>
      <c r="D52" s="209" t="s">
        <v>126</v>
      </c>
      <c r="E52" s="215">
        <v>1731.5619999999999</v>
      </c>
      <c r="F52" s="216">
        <v>0.8</v>
      </c>
      <c r="G52" s="217">
        <v>1730.7619999999999</v>
      </c>
      <c r="H52" s="216">
        <v>926.37699999999995</v>
      </c>
      <c r="I52" s="138">
        <v>0.53524228056774992</v>
      </c>
      <c r="J52" s="218">
        <v>266519.07699999999</v>
      </c>
    </row>
    <row r="53" spans="1:10" x14ac:dyDescent="0.35">
      <c r="A53" s="207" t="s">
        <v>224</v>
      </c>
      <c r="B53" s="206">
        <v>200541495</v>
      </c>
      <c r="C53" s="208" t="s">
        <v>160</v>
      </c>
      <c r="D53" s="209" t="s">
        <v>279</v>
      </c>
      <c r="E53" s="215">
        <v>1617.1179999999999</v>
      </c>
      <c r="F53" s="216">
        <v>30.423999999999999</v>
      </c>
      <c r="G53" s="217">
        <v>1586.694</v>
      </c>
      <c r="H53" s="216">
        <v>1519.5889999999999</v>
      </c>
      <c r="I53" s="138">
        <v>0.95770766133860719</v>
      </c>
      <c r="J53" s="218">
        <v>439777.66200000001</v>
      </c>
    </row>
    <row r="54" spans="1:10" x14ac:dyDescent="0.35">
      <c r="A54" s="207" t="s">
        <v>224</v>
      </c>
      <c r="B54" s="206">
        <v>200544472</v>
      </c>
      <c r="C54" s="208" t="s">
        <v>161</v>
      </c>
      <c r="D54" s="209" t="s">
        <v>280</v>
      </c>
      <c r="E54" s="215">
        <v>2595.7600000000002</v>
      </c>
      <c r="F54" s="216">
        <v>52.508000000000003</v>
      </c>
      <c r="G54" s="217">
        <v>2543.252</v>
      </c>
      <c r="H54" s="216">
        <v>2083.3589999999999</v>
      </c>
      <c r="I54" s="138">
        <v>0.81917128149314344</v>
      </c>
      <c r="J54" s="218">
        <v>705144.22199999995</v>
      </c>
    </row>
    <row r="55" spans="1:10" x14ac:dyDescent="0.35">
      <c r="A55" s="207" t="s">
        <v>224</v>
      </c>
      <c r="B55" s="206">
        <v>200544489</v>
      </c>
      <c r="C55" s="208" t="s">
        <v>26</v>
      </c>
      <c r="D55" s="209" t="s">
        <v>281</v>
      </c>
      <c r="E55" s="215">
        <v>1407.8409999999999</v>
      </c>
      <c r="F55" s="216">
        <v>39.466000000000001</v>
      </c>
      <c r="G55" s="217">
        <v>1368.375</v>
      </c>
      <c r="H55" s="216">
        <v>986.32799999999997</v>
      </c>
      <c r="I55" s="138">
        <v>0.72080241161962177</v>
      </c>
      <c r="J55" s="218">
        <v>258634.86</v>
      </c>
    </row>
    <row r="56" spans="1:10" x14ac:dyDescent="0.35">
      <c r="A56" s="207" t="s">
        <v>224</v>
      </c>
      <c r="B56" s="206">
        <v>200652832</v>
      </c>
      <c r="C56" s="208" t="s">
        <v>162</v>
      </c>
      <c r="D56" s="209" t="s">
        <v>282</v>
      </c>
      <c r="E56" s="215">
        <v>1964.7760000000001</v>
      </c>
      <c r="F56" s="216">
        <v>0.8</v>
      </c>
      <c r="G56" s="217">
        <v>1963.9760000000001</v>
      </c>
      <c r="H56" s="216">
        <v>1484.5719999999999</v>
      </c>
      <c r="I56" s="138">
        <v>0.75590129410950035</v>
      </c>
      <c r="J56" s="218">
        <v>439564.723</v>
      </c>
    </row>
    <row r="57" spans="1:10" x14ac:dyDescent="0.35">
      <c r="A57" s="207" t="s">
        <v>224</v>
      </c>
      <c r="B57" s="206">
        <v>200652849</v>
      </c>
      <c r="C57" s="208" t="s">
        <v>163</v>
      </c>
      <c r="D57" s="209" t="s">
        <v>126</v>
      </c>
      <c r="E57" s="215">
        <v>1646.1</v>
      </c>
      <c r="F57" s="216">
        <v>13.15</v>
      </c>
      <c r="G57" s="217">
        <v>1632.95</v>
      </c>
      <c r="H57" s="216">
        <v>851.91200000000003</v>
      </c>
      <c r="I57" s="138">
        <v>0.52170121559141436</v>
      </c>
      <c r="J57" s="218">
        <v>379700.685</v>
      </c>
    </row>
    <row r="58" spans="1:10" x14ac:dyDescent="0.35">
      <c r="A58" s="207" t="s">
        <v>224</v>
      </c>
      <c r="B58" s="206">
        <v>200652900</v>
      </c>
      <c r="C58" s="208" t="s">
        <v>164</v>
      </c>
      <c r="D58" s="209" t="s">
        <v>126</v>
      </c>
      <c r="E58" s="215">
        <v>1300.8679999999999</v>
      </c>
      <c r="F58" s="216">
        <v>0</v>
      </c>
      <c r="G58" s="217">
        <v>1300.8679999999999</v>
      </c>
      <c r="H58" s="216">
        <v>262.47399999999999</v>
      </c>
      <c r="I58" s="138">
        <v>0.20176835774267643</v>
      </c>
      <c r="J58" s="218">
        <v>230112.78</v>
      </c>
    </row>
    <row r="59" spans="1:10" x14ac:dyDescent="0.35">
      <c r="A59" s="207" t="s">
        <v>224</v>
      </c>
      <c r="B59" s="206">
        <v>200692968</v>
      </c>
      <c r="C59" s="208" t="s">
        <v>165</v>
      </c>
      <c r="D59" s="209" t="s">
        <v>283</v>
      </c>
      <c r="E59" s="215">
        <v>20728.563999999998</v>
      </c>
      <c r="F59" s="216">
        <v>2499.5949999999998</v>
      </c>
      <c r="G59" s="217">
        <v>18228.969000000001</v>
      </c>
      <c r="H59" s="216">
        <v>5838.8029999999999</v>
      </c>
      <c r="I59" s="138">
        <v>0.32030352347409224</v>
      </c>
      <c r="J59" s="218">
        <v>4272555.0240000002</v>
      </c>
    </row>
    <row r="60" spans="1:10" x14ac:dyDescent="0.35">
      <c r="A60" s="207" t="s">
        <v>224</v>
      </c>
      <c r="B60" s="206">
        <v>200809045</v>
      </c>
      <c r="C60" s="208" t="s">
        <v>13</v>
      </c>
      <c r="D60" s="209" t="s">
        <v>284</v>
      </c>
      <c r="E60" s="215">
        <v>2436.299</v>
      </c>
      <c r="F60" s="216">
        <v>90.2</v>
      </c>
      <c r="G60" s="217">
        <v>2346.0990000000002</v>
      </c>
      <c r="H60" s="216">
        <v>2345.1990000000001</v>
      </c>
      <c r="I60" s="138">
        <v>0.99961638447482393</v>
      </c>
      <c r="J60" s="218">
        <v>835205.67200000002</v>
      </c>
    </row>
    <row r="61" spans="1:10" x14ac:dyDescent="0.35">
      <c r="A61" s="206" t="s">
        <v>126</v>
      </c>
      <c r="B61" s="206" t="s">
        <v>126</v>
      </c>
      <c r="C61" s="208" t="s">
        <v>126</v>
      </c>
      <c r="D61" s="206" t="s">
        <v>126</v>
      </c>
      <c r="E61" s="219">
        <v>100325.22199999999</v>
      </c>
      <c r="F61" s="219">
        <v>5324.7389999999996</v>
      </c>
      <c r="G61" s="219">
        <v>95000.482999999993</v>
      </c>
      <c r="H61" s="219">
        <v>63845.695</v>
      </c>
      <c r="I61" s="139">
        <v>0.67205653049153447</v>
      </c>
      <c r="J61" s="220">
        <v>22244748.5185</v>
      </c>
    </row>
    <row r="62" spans="1:10" ht="0" hidden="1" customHeight="1" x14ac:dyDescent="0.35"/>
  </sheetData>
  <mergeCells count="3">
    <mergeCell ref="A1:F1"/>
    <mergeCell ref="A2:F2"/>
    <mergeCell ref="E4:I4"/>
  </mergeCells>
  <pageMargins left="0.98425196850393704" right="0.98425196850393704" top="0.98425196850393704" bottom="0.98425196850393704" header="0.98425196850393704" footer="0.98425196850393704"/>
  <pageSetup paperSize="9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F92CD-421D-485F-A09E-744EE6D43BD2}">
  <dimension ref="A1:N73"/>
  <sheetViews>
    <sheetView topLeftCell="B1" workbookViewId="0">
      <selection activeCell="E72" sqref="E72:H73"/>
    </sheetView>
  </sheetViews>
  <sheetFormatPr defaultColWidth="8.7265625" defaultRowHeight="14.5" x14ac:dyDescent="0.35"/>
  <cols>
    <col min="1" max="1" width="17.453125" style="102" bestFit="1" customWidth="1"/>
    <col min="2" max="2" width="35.54296875" style="102" bestFit="1" customWidth="1"/>
    <col min="3" max="4" width="35.54296875" style="102" hidden="1" customWidth="1"/>
    <col min="5" max="5" width="31.81640625" style="102" customWidth="1"/>
    <col min="6" max="7" width="31.81640625" style="102" hidden="1" customWidth="1"/>
    <col min="8" max="8" width="20.1796875" style="130" customWidth="1"/>
    <col min="9" max="11" width="8.7265625" style="102"/>
    <col min="12" max="12" width="16.81640625" style="102" customWidth="1"/>
    <col min="13" max="16384" width="8.7265625" style="102"/>
  </cols>
  <sheetData>
    <row r="1" spans="1:14" s="101" customFormat="1" ht="13" x14ac:dyDescent="0.3">
      <c r="A1" s="101" t="s">
        <v>180</v>
      </c>
      <c r="B1" s="101" t="s">
        <v>181</v>
      </c>
      <c r="E1" s="101" t="s">
        <v>237</v>
      </c>
      <c r="H1" s="128" t="s">
        <v>238</v>
      </c>
    </row>
    <row r="2" spans="1:14" x14ac:dyDescent="0.35">
      <c r="A2" s="132">
        <v>1004359</v>
      </c>
      <c r="B2" s="203" t="s">
        <v>204</v>
      </c>
      <c r="E2" s="131">
        <v>33.56</v>
      </c>
      <c r="F2" s="131"/>
      <c r="G2" s="131"/>
      <c r="H2" s="131">
        <v>193.20099999999999</v>
      </c>
      <c r="K2" s="102" t="s">
        <v>261</v>
      </c>
      <c r="L2" s="102" t="s">
        <v>262</v>
      </c>
      <c r="M2" s="102" t="s">
        <v>31</v>
      </c>
      <c r="N2" s="102" t="s">
        <v>263</v>
      </c>
    </row>
    <row r="3" spans="1:14" x14ac:dyDescent="0.35">
      <c r="A3" s="132">
        <v>1043650</v>
      </c>
      <c r="B3" s="203" t="s">
        <v>9</v>
      </c>
      <c r="E3" s="131">
        <v>705.10699999999997</v>
      </c>
      <c r="F3" s="131"/>
      <c r="G3" s="131"/>
      <c r="H3" s="131">
        <v>1015.63</v>
      </c>
    </row>
    <row r="4" spans="1:14" x14ac:dyDescent="0.35">
      <c r="A4" s="132">
        <v>1066946</v>
      </c>
      <c r="B4" s="203" t="s">
        <v>214</v>
      </c>
      <c r="E4" s="131">
        <v>170.68600000000001</v>
      </c>
      <c r="F4" s="131"/>
      <c r="G4" s="131"/>
      <c r="H4" s="131">
        <v>225.37700000000001</v>
      </c>
    </row>
    <row r="5" spans="1:14" x14ac:dyDescent="0.35">
      <c r="A5" s="132">
        <v>1088515</v>
      </c>
      <c r="B5" s="203" t="s">
        <v>190</v>
      </c>
      <c r="E5" s="131">
        <v>22.663</v>
      </c>
      <c r="F5" s="131"/>
      <c r="G5" s="131"/>
      <c r="H5" s="131">
        <v>63.093000000000004</v>
      </c>
    </row>
    <row r="6" spans="1:14" x14ac:dyDescent="0.35">
      <c r="A6" s="132">
        <v>1091281</v>
      </c>
      <c r="B6" s="203" t="s">
        <v>191</v>
      </c>
      <c r="E6" s="131">
        <v>136.423</v>
      </c>
      <c r="F6" s="131"/>
      <c r="G6" s="131"/>
      <c r="H6" s="131">
        <v>1073.7429999999999</v>
      </c>
    </row>
    <row r="7" spans="1:14" x14ac:dyDescent="0.35">
      <c r="A7" s="132">
        <v>1096809</v>
      </c>
      <c r="B7" s="203" t="s">
        <v>202</v>
      </c>
      <c r="E7" s="131">
        <v>16.847999999999999</v>
      </c>
      <c r="F7" s="131"/>
      <c r="G7" s="131"/>
      <c r="H7" s="131">
        <v>232.834</v>
      </c>
    </row>
    <row r="8" spans="1:14" x14ac:dyDescent="0.35">
      <c r="A8" s="132">
        <v>1098703</v>
      </c>
      <c r="B8" s="203" t="s">
        <v>201</v>
      </c>
      <c r="E8" s="131">
        <v>73.945999999999998</v>
      </c>
      <c r="F8" s="131"/>
      <c r="G8" s="131"/>
      <c r="H8" s="131">
        <v>263.95800000000003</v>
      </c>
    </row>
    <row r="9" spans="1:14" x14ac:dyDescent="0.35">
      <c r="A9" s="132">
        <v>1111606</v>
      </c>
      <c r="B9" s="203" t="s">
        <v>193</v>
      </c>
      <c r="E9" s="131">
        <v>18.629000000000001</v>
      </c>
      <c r="F9" s="131"/>
      <c r="G9" s="131"/>
      <c r="H9" s="131">
        <v>238.17400000000001</v>
      </c>
    </row>
    <row r="10" spans="1:14" x14ac:dyDescent="0.35">
      <c r="A10" s="132">
        <v>1174958</v>
      </c>
      <c r="B10" s="203" t="s">
        <v>257</v>
      </c>
      <c r="E10" s="131"/>
      <c r="F10" s="131"/>
      <c r="G10" s="131"/>
      <c r="H10" s="131"/>
    </row>
    <row r="11" spans="1:14" x14ac:dyDescent="0.35">
      <c r="A11" s="132">
        <v>1123703</v>
      </c>
      <c r="B11" s="203" t="s">
        <v>86</v>
      </c>
      <c r="E11" s="131">
        <v>26.917000000000002</v>
      </c>
      <c r="F11" s="131"/>
      <c r="G11" s="131"/>
      <c r="H11" s="131">
        <v>317.08600000000001</v>
      </c>
    </row>
    <row r="12" spans="1:14" x14ac:dyDescent="0.35">
      <c r="A12" s="132">
        <v>1128479</v>
      </c>
      <c r="B12" s="203" t="s">
        <v>192</v>
      </c>
      <c r="E12" s="131">
        <v>197.352</v>
      </c>
      <c r="F12" s="131"/>
      <c r="G12" s="131"/>
      <c r="H12" s="131">
        <v>975.55</v>
      </c>
    </row>
    <row r="13" spans="1:14" x14ac:dyDescent="0.35">
      <c r="A13" s="132">
        <v>1136302</v>
      </c>
      <c r="B13" s="203" t="s">
        <v>188</v>
      </c>
      <c r="E13" s="131">
        <v>111.904</v>
      </c>
      <c r="F13" s="131"/>
      <c r="G13" s="131"/>
      <c r="H13" s="131">
        <v>351.93700000000001</v>
      </c>
    </row>
    <row r="14" spans="1:14" x14ac:dyDescent="0.35">
      <c r="A14" s="132">
        <v>1145780</v>
      </c>
      <c r="B14" s="203" t="s">
        <v>194</v>
      </c>
      <c r="E14" s="131">
        <v>75.358000000000004</v>
      </c>
      <c r="F14" s="131"/>
      <c r="G14" s="131"/>
      <c r="H14" s="131">
        <v>210.8</v>
      </c>
    </row>
    <row r="15" spans="1:14" x14ac:dyDescent="0.35">
      <c r="A15" s="132">
        <v>1149830</v>
      </c>
      <c r="B15" s="203" t="s">
        <v>184</v>
      </c>
      <c r="E15" s="102">
        <v>1.4079999999999999</v>
      </c>
      <c r="F15" s="102">
        <v>374.75</v>
      </c>
      <c r="G15" s="131"/>
      <c r="H15" s="102">
        <v>374.75</v>
      </c>
      <c r="K15"/>
      <c r="L15"/>
      <c r="M15"/>
      <c r="N15"/>
    </row>
    <row r="16" spans="1:14" x14ac:dyDescent="0.35">
      <c r="A16" s="132">
        <v>1192523</v>
      </c>
      <c r="B16" s="203" t="s">
        <v>184</v>
      </c>
      <c r="E16" s="131">
        <v>7.2690000000000001</v>
      </c>
      <c r="F16" s="131"/>
      <c r="G16" s="131"/>
      <c r="H16" s="131">
        <v>176.55199999999999</v>
      </c>
    </row>
    <row r="17" spans="1:14" x14ac:dyDescent="0.35">
      <c r="A17" s="132">
        <v>1198425</v>
      </c>
      <c r="B17" s="203" t="s">
        <v>226</v>
      </c>
      <c r="E17" s="131">
        <v>155.387</v>
      </c>
      <c r="F17" s="131"/>
      <c r="G17" s="131"/>
      <c r="H17" s="131">
        <v>338.61799999999999</v>
      </c>
      <c r="K17" s="102">
        <v>1166810</v>
      </c>
      <c r="L17" s="102" t="s">
        <v>248</v>
      </c>
      <c r="M17" s="102">
        <v>24.068000000000001</v>
      </c>
      <c r="N17" s="102">
        <v>111.256</v>
      </c>
    </row>
    <row r="18" spans="1:14" x14ac:dyDescent="0.35">
      <c r="A18" s="132">
        <v>1199339</v>
      </c>
      <c r="B18" s="203" t="s">
        <v>156</v>
      </c>
      <c r="E18" s="131">
        <v>21.831</v>
      </c>
      <c r="F18" s="131"/>
      <c r="G18" s="131"/>
      <c r="H18" s="131">
        <v>110.637</v>
      </c>
    </row>
    <row r="19" spans="1:14" x14ac:dyDescent="0.35">
      <c r="A19" s="132">
        <v>1216525</v>
      </c>
      <c r="B19" s="203" t="s">
        <v>156</v>
      </c>
      <c r="E19" s="131">
        <v>55.523000000000003</v>
      </c>
      <c r="F19" s="131"/>
      <c r="G19" s="131"/>
      <c r="H19" s="131">
        <v>190.31399999999999</v>
      </c>
    </row>
    <row r="20" spans="1:14" x14ac:dyDescent="0.35">
      <c r="A20" s="132">
        <v>1218014</v>
      </c>
      <c r="B20" s="203" t="s">
        <v>182</v>
      </c>
      <c r="E20" s="131">
        <v>219.43899999999999</v>
      </c>
      <c r="F20" s="131"/>
      <c r="G20" s="131"/>
      <c r="H20" s="131">
        <v>2054.893</v>
      </c>
    </row>
    <row r="21" spans="1:14" x14ac:dyDescent="0.35">
      <c r="A21" s="132">
        <v>1232086</v>
      </c>
      <c r="B21" s="203" t="s">
        <v>134</v>
      </c>
      <c r="E21" s="131">
        <v>1.5760000000000001</v>
      </c>
      <c r="F21" s="131"/>
      <c r="G21" s="131"/>
      <c r="H21" s="131">
        <v>2.6480000000000001</v>
      </c>
    </row>
    <row r="22" spans="1:14" customFormat="1" x14ac:dyDescent="0.35">
      <c r="A22">
        <v>1383843</v>
      </c>
      <c r="B22" s="204" t="s">
        <v>247</v>
      </c>
      <c r="E22" s="131"/>
      <c r="F22" s="130"/>
      <c r="G22" s="130"/>
      <c r="H22" s="131"/>
      <c r="K22" s="102"/>
      <c r="L22" s="102"/>
      <c r="M22" s="102"/>
      <c r="N22" s="102"/>
    </row>
    <row r="23" spans="1:14" x14ac:dyDescent="0.35">
      <c r="A23" s="132">
        <v>1346990</v>
      </c>
      <c r="B23" s="203" t="s">
        <v>186</v>
      </c>
      <c r="E23" s="131">
        <v>36.938000000000002</v>
      </c>
      <c r="F23" s="131"/>
      <c r="G23" s="131"/>
      <c r="H23" s="131">
        <v>82.962000000000003</v>
      </c>
    </row>
    <row r="24" spans="1:14" x14ac:dyDescent="0.35">
      <c r="A24" s="132">
        <v>1573820</v>
      </c>
      <c r="B24" s="203" t="s">
        <v>221</v>
      </c>
      <c r="E24" s="131">
        <v>4.9610000000000003</v>
      </c>
      <c r="F24" s="131"/>
      <c r="G24" s="131"/>
      <c r="H24" s="131">
        <v>24.683</v>
      </c>
    </row>
    <row r="25" spans="1:14" x14ac:dyDescent="0.35">
      <c r="A25" s="132">
        <v>1586293</v>
      </c>
      <c r="B25" s="203" t="s">
        <v>227</v>
      </c>
      <c r="E25" s="131"/>
      <c r="F25" s="131"/>
      <c r="G25" s="131"/>
      <c r="H25" s="131"/>
    </row>
    <row r="26" spans="1:14" x14ac:dyDescent="0.35">
      <c r="A26" s="132">
        <v>1611791</v>
      </c>
      <c r="B26" s="203" t="s">
        <v>233</v>
      </c>
      <c r="E26" s="131"/>
      <c r="F26" s="131"/>
      <c r="G26" s="131"/>
      <c r="H26" s="131"/>
    </row>
    <row r="27" spans="1:14" x14ac:dyDescent="0.35">
      <c r="A27" s="132">
        <v>1613144</v>
      </c>
      <c r="B27" s="203" t="s">
        <v>45</v>
      </c>
      <c r="E27" s="131"/>
      <c r="F27" s="131"/>
      <c r="G27" s="131"/>
      <c r="H27" s="131"/>
    </row>
    <row r="28" spans="1:14" x14ac:dyDescent="0.35">
      <c r="A28" s="132">
        <v>1613945</v>
      </c>
      <c r="B28" s="203" t="s">
        <v>200</v>
      </c>
      <c r="E28" s="131">
        <v>87.191000000000003</v>
      </c>
      <c r="F28" s="131"/>
      <c r="G28" s="131"/>
      <c r="H28" s="131">
        <v>118.997</v>
      </c>
    </row>
    <row r="29" spans="1:14" x14ac:dyDescent="0.35">
      <c r="A29" s="132">
        <v>1839601</v>
      </c>
      <c r="B29" s="203" t="s">
        <v>183</v>
      </c>
      <c r="E29" s="131">
        <v>129.11099999999999</v>
      </c>
      <c r="F29" s="131"/>
      <c r="G29" s="131"/>
      <c r="H29" s="131">
        <v>481.00099999999998</v>
      </c>
      <c r="K29" s="102">
        <v>2085244</v>
      </c>
      <c r="L29" s="102" t="s">
        <v>265</v>
      </c>
      <c r="M29" s="102">
        <v>17.024999999999999</v>
      </c>
      <c r="N29" s="102">
        <v>101.077</v>
      </c>
    </row>
    <row r="30" spans="1:14" x14ac:dyDescent="0.35">
      <c r="A30" s="132">
        <v>1970513</v>
      </c>
      <c r="B30" s="203" t="s">
        <v>229</v>
      </c>
      <c r="E30" s="131"/>
      <c r="F30" s="131"/>
      <c r="G30" s="131"/>
      <c r="H30" s="131"/>
    </row>
    <row r="31" spans="1:14" x14ac:dyDescent="0.35">
      <c r="A31" s="132">
        <v>2144619</v>
      </c>
      <c r="B31" s="203" t="s">
        <v>203</v>
      </c>
      <c r="E31" s="131">
        <v>333.18799999999999</v>
      </c>
      <c r="F31" s="131"/>
      <c r="G31" s="131"/>
      <c r="H31" s="131">
        <v>774.21199999999999</v>
      </c>
    </row>
    <row r="32" spans="1:14" x14ac:dyDescent="0.35">
      <c r="A32" s="132">
        <v>2155984</v>
      </c>
      <c r="B32" s="203" t="s">
        <v>216</v>
      </c>
      <c r="E32" s="131"/>
      <c r="F32" s="131"/>
      <c r="G32" s="131"/>
      <c r="H32" s="131"/>
    </row>
    <row r="33" spans="1:8" x14ac:dyDescent="0.35">
      <c r="A33" s="132">
        <v>2161308</v>
      </c>
      <c r="B33" s="203" t="s">
        <v>199</v>
      </c>
      <c r="E33" s="131">
        <v>31.626000000000001</v>
      </c>
      <c r="F33" s="131"/>
      <c r="G33" s="131"/>
      <c r="H33" s="131">
        <v>320.73700000000002</v>
      </c>
    </row>
    <row r="34" spans="1:8" x14ac:dyDescent="0.35">
      <c r="A34" s="132">
        <v>2162953</v>
      </c>
      <c r="B34" s="203" t="s">
        <v>196</v>
      </c>
      <c r="E34" s="131">
        <v>103.877</v>
      </c>
      <c r="F34" s="131"/>
      <c r="G34" s="131"/>
      <c r="H34" s="131">
        <v>118.651</v>
      </c>
    </row>
    <row r="35" spans="1:8" x14ac:dyDescent="0.35">
      <c r="A35" s="132">
        <v>2162988</v>
      </c>
      <c r="B35" s="203" t="s">
        <v>195</v>
      </c>
      <c r="E35" s="131">
        <v>34.463999999999999</v>
      </c>
      <c r="F35" s="131"/>
      <c r="G35" s="131"/>
      <c r="H35" s="131">
        <v>264.35000000000002</v>
      </c>
    </row>
    <row r="36" spans="1:8" x14ac:dyDescent="0.35">
      <c r="A36" s="132">
        <v>2163049</v>
      </c>
      <c r="B36" s="203" t="s">
        <v>4</v>
      </c>
      <c r="E36" s="131"/>
      <c r="F36" s="131"/>
      <c r="G36" s="131"/>
      <c r="H36" s="131"/>
    </row>
    <row r="37" spans="1:8" x14ac:dyDescent="0.35">
      <c r="A37" s="132">
        <v>2163076</v>
      </c>
      <c r="B37" s="203" t="s">
        <v>46</v>
      </c>
      <c r="E37" s="131"/>
      <c r="F37" s="131"/>
      <c r="G37" s="131"/>
      <c r="H37" s="131"/>
    </row>
    <row r="38" spans="1:8" x14ac:dyDescent="0.35">
      <c r="A38" s="132">
        <v>2163130</v>
      </c>
      <c r="B38" s="203" t="s">
        <v>187</v>
      </c>
      <c r="E38" s="131">
        <v>287.99299999999999</v>
      </c>
      <c r="F38" s="131"/>
      <c r="G38" s="131"/>
      <c r="H38" s="131">
        <v>374.488</v>
      </c>
    </row>
    <row r="39" spans="1:8" x14ac:dyDescent="0.35">
      <c r="A39" s="132">
        <v>2164133</v>
      </c>
      <c r="B39" s="203" t="s">
        <v>185</v>
      </c>
      <c r="E39" s="131">
        <v>572.91</v>
      </c>
      <c r="F39" s="131"/>
      <c r="G39" s="131"/>
      <c r="H39" s="131">
        <v>633.46600000000001</v>
      </c>
    </row>
    <row r="40" spans="1:8" x14ac:dyDescent="0.35">
      <c r="A40" s="132">
        <v>2164274</v>
      </c>
      <c r="B40" s="203" t="s">
        <v>205</v>
      </c>
      <c r="E40" s="131">
        <v>47.814999999999998</v>
      </c>
      <c r="F40" s="131"/>
      <c r="G40" s="131"/>
      <c r="H40" s="131">
        <v>92.664000000000001</v>
      </c>
    </row>
    <row r="41" spans="1:8" x14ac:dyDescent="0.35">
      <c r="A41" s="132">
        <v>2164335</v>
      </c>
      <c r="B41" s="203" t="s">
        <v>198</v>
      </c>
      <c r="E41" s="131">
        <v>4.6710000000000003</v>
      </c>
      <c r="F41" s="131"/>
      <c r="G41" s="131"/>
      <c r="H41" s="131">
        <v>257.47199999999998</v>
      </c>
    </row>
    <row r="42" spans="1:8" x14ac:dyDescent="0.35">
      <c r="A42" s="132">
        <v>2167011</v>
      </c>
      <c r="B42" s="203" t="s">
        <v>189</v>
      </c>
      <c r="E42" s="131">
        <v>49.859000000000002</v>
      </c>
      <c r="F42" s="131"/>
      <c r="G42" s="131"/>
      <c r="H42" s="131">
        <v>913.10299999999995</v>
      </c>
    </row>
    <row r="43" spans="1:8" x14ac:dyDescent="0.35">
      <c r="A43" s="132">
        <v>2171935</v>
      </c>
      <c r="B43" s="203" t="s">
        <v>239</v>
      </c>
      <c r="E43" s="131"/>
      <c r="F43" s="131"/>
      <c r="G43" s="131"/>
      <c r="H43" s="131"/>
    </row>
    <row r="44" spans="1:8" x14ac:dyDescent="0.35">
      <c r="A44" s="132">
        <v>2174467</v>
      </c>
      <c r="B44" s="203" t="s">
        <v>197</v>
      </c>
      <c r="E44" s="131">
        <v>166.768</v>
      </c>
      <c r="F44" s="131"/>
      <c r="G44" s="131"/>
      <c r="H44" s="131">
        <v>675.822</v>
      </c>
    </row>
    <row r="45" spans="1:8" x14ac:dyDescent="0.35">
      <c r="A45" s="132">
        <v>2180848</v>
      </c>
      <c r="B45" s="203" t="s">
        <v>219</v>
      </c>
      <c r="E45" s="131">
        <v>2.9020000000000001</v>
      </c>
      <c r="F45" s="131"/>
      <c r="G45" s="131"/>
      <c r="H45" s="131">
        <v>107.102</v>
      </c>
    </row>
    <row r="46" spans="1:8" x14ac:dyDescent="0.35">
      <c r="A46">
        <v>1166810</v>
      </c>
      <c r="B46" s="204" t="s">
        <v>248</v>
      </c>
      <c r="C46"/>
      <c r="D46"/>
      <c r="E46" s="131">
        <v>24.068000000000001</v>
      </c>
      <c r="F46" s="130"/>
      <c r="G46" s="130"/>
      <c r="H46" s="131">
        <v>111.256</v>
      </c>
    </row>
    <row r="47" spans="1:8" x14ac:dyDescent="0.35">
      <c r="A47" s="132">
        <v>2214784</v>
      </c>
      <c r="B47" s="203" t="s">
        <v>199</v>
      </c>
      <c r="E47" s="131">
        <v>33.186</v>
      </c>
      <c r="F47" s="131"/>
      <c r="G47" s="131"/>
      <c r="H47" s="131">
        <v>138.32499999999999</v>
      </c>
    </row>
    <row r="48" spans="1:8" x14ac:dyDescent="0.35">
      <c r="A48">
        <v>2386462</v>
      </c>
      <c r="B48" s="204" t="s">
        <v>249</v>
      </c>
      <c r="C48"/>
      <c r="D48"/>
      <c r="E48" s="131">
        <v>17.942</v>
      </c>
      <c r="F48" s="130"/>
      <c r="G48" s="130"/>
      <c r="H48" s="131">
        <v>268.02999999999997</v>
      </c>
    </row>
    <row r="49" spans="1:14" x14ac:dyDescent="0.35">
      <c r="A49">
        <v>2200834</v>
      </c>
      <c r="B49" s="204" t="s">
        <v>258</v>
      </c>
      <c r="C49"/>
      <c r="D49"/>
      <c r="E49" s="131"/>
      <c r="F49" s="130"/>
      <c r="G49" s="130"/>
      <c r="H49" s="131"/>
    </row>
    <row r="50" spans="1:14" x14ac:dyDescent="0.35">
      <c r="A50" s="132">
        <v>2222649</v>
      </c>
      <c r="B50" s="203" t="s">
        <v>215</v>
      </c>
      <c r="E50" s="131">
        <v>57.847999999999999</v>
      </c>
      <c r="F50" s="131"/>
      <c r="G50" s="131"/>
      <c r="H50" s="131">
        <v>299.25900000000001</v>
      </c>
    </row>
    <row r="51" spans="1:14" x14ac:dyDescent="0.35">
      <c r="A51" s="132">
        <v>2232789</v>
      </c>
      <c r="B51" s="203" t="s">
        <v>240</v>
      </c>
      <c r="E51" s="131">
        <v>4.37</v>
      </c>
      <c r="F51" s="131"/>
      <c r="G51" s="131"/>
      <c r="H51" s="131">
        <v>53</v>
      </c>
    </row>
    <row r="52" spans="1:14" x14ac:dyDescent="0.35">
      <c r="A52" s="132">
        <v>2242256</v>
      </c>
      <c r="B52" s="203" t="s">
        <v>220</v>
      </c>
      <c r="E52" s="131"/>
      <c r="F52" s="131"/>
      <c r="G52" s="131"/>
      <c r="H52" s="131"/>
    </row>
    <row r="53" spans="1:14" x14ac:dyDescent="0.35">
      <c r="A53" s="132">
        <v>2361189</v>
      </c>
      <c r="B53" s="203" t="s">
        <v>255</v>
      </c>
      <c r="E53" s="131">
        <v>9.24</v>
      </c>
      <c r="F53" s="131"/>
      <c r="G53" s="131"/>
      <c r="H53" s="131">
        <v>54.963999999999999</v>
      </c>
      <c r="M53" s="102">
        <f>+SUM(M4:M52)</f>
        <v>41.093000000000004</v>
      </c>
      <c r="N53" s="102">
        <f>+SUM(N4:N52)</f>
        <v>212.333</v>
      </c>
    </row>
    <row r="54" spans="1:14" x14ac:dyDescent="0.35">
      <c r="A54" s="132">
        <v>2243447</v>
      </c>
      <c r="B54" s="203" t="s">
        <v>235</v>
      </c>
      <c r="E54" s="131">
        <v>93.16</v>
      </c>
      <c r="F54" s="131"/>
      <c r="G54" s="131"/>
      <c r="H54" s="131">
        <v>94.933999999999997</v>
      </c>
    </row>
    <row r="55" spans="1:14" x14ac:dyDescent="0.35">
      <c r="A55" s="132">
        <v>2251036</v>
      </c>
      <c r="B55" s="203" t="s">
        <v>241</v>
      </c>
      <c r="E55" s="131"/>
      <c r="F55" s="131"/>
      <c r="G55" s="131"/>
      <c r="H55" s="131"/>
    </row>
    <row r="56" spans="1:14" x14ac:dyDescent="0.35">
      <c r="A56" s="132">
        <v>2312561</v>
      </c>
      <c r="B56" s="203" t="s">
        <v>228</v>
      </c>
      <c r="E56" s="131"/>
      <c r="F56" s="131"/>
      <c r="G56" s="131"/>
      <c r="H56" s="131"/>
    </row>
    <row r="57" spans="1:14" x14ac:dyDescent="0.35">
      <c r="A57">
        <v>2308205</v>
      </c>
      <c r="B57" s="204" t="s">
        <v>250</v>
      </c>
      <c r="C57"/>
      <c r="D57"/>
      <c r="E57" s="131"/>
      <c r="F57" s="130"/>
      <c r="G57" s="130"/>
      <c r="H57" s="131"/>
    </row>
    <row r="58" spans="1:14" x14ac:dyDescent="0.35">
      <c r="A58">
        <v>2379924</v>
      </c>
      <c r="B58" s="204" t="s">
        <v>251</v>
      </c>
      <c r="C58"/>
      <c r="D58"/>
      <c r="E58" s="131">
        <v>8.7959999999999994</v>
      </c>
      <c r="F58" s="130"/>
      <c r="G58" s="130"/>
      <c r="H58" s="131">
        <v>100.866</v>
      </c>
    </row>
    <row r="59" spans="1:14" x14ac:dyDescent="0.35">
      <c r="A59">
        <v>2336518</v>
      </c>
      <c r="B59" s="204" t="s">
        <v>252</v>
      </c>
      <c r="C59"/>
      <c r="D59"/>
      <c r="E59" s="131">
        <v>136.221</v>
      </c>
      <c r="F59" s="130"/>
      <c r="G59" s="130"/>
      <c r="H59" s="131">
        <v>291.435</v>
      </c>
    </row>
    <row r="60" spans="1:14" x14ac:dyDescent="0.35">
      <c r="A60">
        <v>2407997</v>
      </c>
      <c r="B60" s="204" t="s">
        <v>15</v>
      </c>
      <c r="C60"/>
      <c r="D60"/>
      <c r="E60" s="131">
        <v>0.8</v>
      </c>
      <c r="F60" s="130"/>
      <c r="G60" s="130"/>
      <c r="H60" s="131">
        <v>23.477</v>
      </c>
    </row>
    <row r="61" spans="1:14" x14ac:dyDescent="0.35">
      <c r="A61">
        <v>2162723</v>
      </c>
      <c r="B61" s="204" t="s">
        <v>18</v>
      </c>
      <c r="C61"/>
      <c r="D61"/>
      <c r="E61" s="131">
        <v>13.31</v>
      </c>
      <c r="F61" s="130"/>
      <c r="G61" s="130"/>
      <c r="H61" s="131">
        <v>17.420000000000002</v>
      </c>
    </row>
    <row r="62" spans="1:14" x14ac:dyDescent="0.35">
      <c r="A62" s="132">
        <v>2329044</v>
      </c>
      <c r="B62" s="203" t="s">
        <v>234</v>
      </c>
      <c r="E62" s="131">
        <v>6.5129999999999999</v>
      </c>
      <c r="F62" s="131"/>
      <c r="G62" s="131"/>
      <c r="H62" s="131">
        <v>7.6529999999999996</v>
      </c>
    </row>
    <row r="63" spans="1:14" x14ac:dyDescent="0.35">
      <c r="A63" s="132">
        <v>2406065</v>
      </c>
      <c r="B63" s="203" t="s">
        <v>259</v>
      </c>
      <c r="E63" s="131"/>
      <c r="F63" s="131"/>
      <c r="G63" s="131"/>
      <c r="H63" s="131"/>
    </row>
    <row r="64" spans="1:14" x14ac:dyDescent="0.35">
      <c r="A64" s="132">
        <v>2347486</v>
      </c>
      <c r="B64" s="203" t="s">
        <v>65</v>
      </c>
      <c r="E64" s="131"/>
      <c r="F64" s="131"/>
      <c r="G64" s="131"/>
      <c r="H64" s="131"/>
    </row>
    <row r="65" spans="1:8" x14ac:dyDescent="0.35">
      <c r="A65" s="102">
        <v>1017038</v>
      </c>
      <c r="B65" s="203" t="s">
        <v>4</v>
      </c>
      <c r="E65" s="131">
        <v>8.23</v>
      </c>
      <c r="F65" s="131"/>
      <c r="G65" s="131"/>
      <c r="H65" s="131">
        <v>8.23</v>
      </c>
    </row>
    <row r="66" spans="1:8" x14ac:dyDescent="0.35">
      <c r="A66" s="102">
        <v>2373519</v>
      </c>
      <c r="B66" s="203" t="s">
        <v>264</v>
      </c>
      <c r="E66" s="131"/>
      <c r="F66" s="131"/>
      <c r="G66" s="131"/>
      <c r="H66" s="131"/>
    </row>
    <row r="67" spans="1:8" x14ac:dyDescent="0.35">
      <c r="E67" s="131"/>
      <c r="F67" s="131"/>
      <c r="G67" s="131"/>
      <c r="H67" s="131"/>
    </row>
    <row r="68" spans="1:8" x14ac:dyDescent="0.35">
      <c r="E68" s="131"/>
      <c r="F68" s="131"/>
      <c r="G68" s="131"/>
      <c r="H68" s="131"/>
    </row>
    <row r="69" spans="1:8" ht="12.5" x14ac:dyDescent="0.25">
      <c r="E69" s="205">
        <f>+SUM(E2:E68)</f>
        <v>4359.7839999999987</v>
      </c>
      <c r="F69" s="129">
        <f t="shared" ref="F69:H69" si="0">+SUM(F2:F68)</f>
        <v>374.75</v>
      </c>
      <c r="G69" s="129">
        <f t="shared" si="0"/>
        <v>0</v>
      </c>
      <c r="H69" s="129">
        <f t="shared" si="0"/>
        <v>15118.353999999999</v>
      </c>
    </row>
    <row r="70" spans="1:8" x14ac:dyDescent="0.35">
      <c r="A70" s="102">
        <v>2085244</v>
      </c>
      <c r="E70" s="129">
        <v>4579.4710000000023</v>
      </c>
      <c r="F70" s="102">
        <v>15723.684000000003</v>
      </c>
      <c r="H70">
        <v>15723.684000000003</v>
      </c>
    </row>
    <row r="71" spans="1:8" ht="12.5" x14ac:dyDescent="0.25">
      <c r="E71" s="129">
        <f>+E70-E69</f>
        <v>219.68700000000354</v>
      </c>
      <c r="H71" s="129">
        <f>+H70-H69</f>
        <v>605.33000000000357</v>
      </c>
    </row>
    <row r="73" spans="1:8" ht="12.5" x14ac:dyDescent="0.25">
      <c r="E73" s="129"/>
      <c r="H73" s="129"/>
    </row>
  </sheetData>
  <autoFilter ref="A1:H64" xr:uid="{93EC7BBC-FF66-42FC-9726-100CC391C4C6}">
    <sortState xmlns:xlrd2="http://schemas.microsoft.com/office/spreadsheetml/2017/richdata2" ref="A2:H64">
      <sortCondition ref="A1:A64"/>
    </sortState>
  </autoFilter>
  <sortState xmlns:xlrd2="http://schemas.microsoft.com/office/spreadsheetml/2017/richdata2" ref="K4:N52">
    <sortCondition ref="K4:K52"/>
  </sortState>
  <conditionalFormatting sqref="A72:A1048576 A1:A64">
    <cfRule type="duplicateValues" dxfId="2" priority="2"/>
  </conditionalFormatting>
  <conditionalFormatting sqref="A72:A1048576 A1:A70">
    <cfRule type="duplicateValues" dxfId="1" priority="1"/>
  </conditionalFormatting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2">
    <tabColor rgb="FF92D050"/>
    <pageSetUpPr fitToPage="1"/>
  </sheetPr>
  <dimension ref="A1:AL167"/>
  <sheetViews>
    <sheetView zoomScale="90" zoomScaleNormal="90" workbookViewId="0">
      <pane xSplit="1" ySplit="4" topLeftCell="C69" activePane="bottomRight" state="frozen"/>
      <selection activeCell="G24" sqref="G24"/>
      <selection pane="topRight" activeCell="G24" sqref="G24"/>
      <selection pane="bottomLeft" activeCell="G24" sqref="G24"/>
      <selection pane="bottomRight" activeCell="C1" sqref="C1:H1048576"/>
    </sheetView>
  </sheetViews>
  <sheetFormatPr defaultColWidth="9.1796875" defaultRowHeight="14.5" x14ac:dyDescent="0.35"/>
  <cols>
    <col min="1" max="1" width="40.81640625" style="2" customWidth="1"/>
    <col min="2" max="8" width="26.1796875" style="39" hidden="1" customWidth="1"/>
    <col min="9" max="9" width="14.1796875" style="22" customWidth="1"/>
    <col min="10" max="10" width="14.1796875" style="96" customWidth="1"/>
    <col min="11" max="11" width="18.453125" style="96" customWidth="1"/>
    <col min="12" max="13" width="15.453125" style="97" customWidth="1"/>
    <col min="14" max="14" width="11.7265625" style="96" customWidth="1"/>
    <col min="15" max="15" width="9.81640625" style="96" customWidth="1"/>
    <col min="16" max="16" width="9.81640625" style="5" customWidth="1"/>
    <col min="17" max="17" width="9.1796875" style="97" customWidth="1"/>
    <col min="18" max="19" width="11.7265625" style="96" customWidth="1"/>
    <col min="20" max="20" width="11.7265625" style="97" customWidth="1"/>
    <col min="21" max="21" width="11.81640625" style="97" customWidth="1"/>
    <col min="22" max="22" width="14.81640625" style="4" customWidth="1"/>
    <col min="23" max="25" width="9.1796875" style="4" customWidth="1"/>
    <col min="26" max="16384" width="9.1796875" style="4"/>
  </cols>
  <sheetData>
    <row r="1" spans="1:38" ht="21" x14ac:dyDescent="0.35">
      <c r="A1" s="8" t="s">
        <v>260</v>
      </c>
      <c r="B1" s="33"/>
      <c r="C1" s="33"/>
      <c r="D1" s="33"/>
      <c r="E1" s="33"/>
      <c r="F1" s="33"/>
      <c r="G1" s="33"/>
      <c r="H1" s="33"/>
      <c r="I1" s="18" t="s">
        <v>29</v>
      </c>
      <c r="J1" s="94"/>
      <c r="K1" s="94"/>
      <c r="P1" s="166"/>
    </row>
    <row r="2" spans="1:38" ht="18" customHeight="1" thickBot="1" x14ac:dyDescent="0.4">
      <c r="A2" s="83" t="s">
        <v>33</v>
      </c>
      <c r="B2" s="34"/>
      <c r="C2" s="34"/>
      <c r="D2" s="34"/>
      <c r="E2" s="34"/>
      <c r="F2" s="34"/>
      <c r="G2" s="34"/>
      <c r="H2" s="34"/>
      <c r="I2" s="19"/>
      <c r="J2" s="95"/>
      <c r="K2" s="95"/>
      <c r="S2" s="148"/>
    </row>
    <row r="3" spans="1:38" s="17" customFormat="1" ht="79.5" customHeight="1" thickTop="1" thickBot="1" x14ac:dyDescent="0.4">
      <c r="A3" s="117" t="s">
        <v>0</v>
      </c>
      <c r="B3" s="118"/>
      <c r="C3" s="119"/>
      <c r="D3" s="119"/>
      <c r="E3" s="119"/>
      <c r="F3" s="119"/>
      <c r="G3" s="120"/>
      <c r="H3" s="121" t="s">
        <v>116</v>
      </c>
      <c r="I3" s="122" t="s">
        <v>14</v>
      </c>
      <c r="J3" s="239" t="s">
        <v>2</v>
      </c>
      <c r="K3" s="240"/>
      <c r="L3" s="241" t="s">
        <v>173</v>
      </c>
      <c r="M3" s="242"/>
      <c r="N3" s="243" t="s">
        <v>1</v>
      </c>
      <c r="O3" s="244"/>
      <c r="P3" s="245" t="s">
        <v>99</v>
      </c>
      <c r="Q3" s="246"/>
      <c r="R3" s="247" t="s">
        <v>266</v>
      </c>
      <c r="S3" s="248"/>
      <c r="T3" s="237" t="s">
        <v>236</v>
      </c>
      <c r="U3" s="238"/>
      <c r="V3" s="26"/>
    </row>
    <row r="4" spans="1:38" ht="15" thickBot="1" x14ac:dyDescent="0.4">
      <c r="A4" s="199" t="s">
        <v>0</v>
      </c>
      <c r="B4" s="200" t="s">
        <v>108</v>
      </c>
      <c r="C4" s="200" t="s">
        <v>242</v>
      </c>
      <c r="D4" s="200" t="s">
        <v>243</v>
      </c>
      <c r="E4" s="200" t="s">
        <v>244</v>
      </c>
      <c r="F4" s="200" t="s">
        <v>245</v>
      </c>
      <c r="G4" s="200" t="s">
        <v>170</v>
      </c>
      <c r="H4" s="200" t="s">
        <v>116</v>
      </c>
      <c r="I4" s="201" t="s">
        <v>14</v>
      </c>
      <c r="J4" s="125" t="s">
        <v>31</v>
      </c>
      <c r="K4" s="126" t="s">
        <v>32</v>
      </c>
      <c r="L4" s="144" t="s">
        <v>31</v>
      </c>
      <c r="M4" s="126" t="s">
        <v>32</v>
      </c>
      <c r="N4" s="140" t="s">
        <v>31</v>
      </c>
      <c r="O4" s="141" t="s">
        <v>32</v>
      </c>
      <c r="P4" s="167" t="s">
        <v>31</v>
      </c>
      <c r="Q4" s="168" t="s">
        <v>32</v>
      </c>
      <c r="R4" s="149" t="s">
        <v>31</v>
      </c>
      <c r="S4" s="150" t="s">
        <v>32</v>
      </c>
      <c r="T4" s="125" t="s">
        <v>31</v>
      </c>
      <c r="U4" s="181" t="s">
        <v>32</v>
      </c>
      <c r="V4" s="27"/>
      <c r="W4" s="5"/>
    </row>
    <row r="5" spans="1:38" s="5" customFormat="1" ht="15.5" x14ac:dyDescent="0.35">
      <c r="A5" s="15" t="s">
        <v>98</v>
      </c>
      <c r="B5" s="35"/>
      <c r="C5" s="133"/>
      <c r="D5" s="133"/>
      <c r="E5" s="133"/>
      <c r="F5" s="133"/>
      <c r="G5" s="35" t="s">
        <v>170</v>
      </c>
      <c r="H5" s="35" t="s">
        <v>119</v>
      </c>
      <c r="I5" s="20">
        <f t="shared" ref="I5:I34" si="0">(J5*100)/K5</f>
        <v>61.715218483174283</v>
      </c>
      <c r="J5" s="123">
        <f t="shared" ref="J5:J35" si="1">+L5+N5+P5+R5+T5</f>
        <v>491.5</v>
      </c>
      <c r="K5" s="124">
        <f t="shared" ref="K5:K35" si="2">+M5+O5+Q5+S5+U5</f>
        <v>796.4</v>
      </c>
      <c r="L5" s="145">
        <f>+IFERROR(VLOOKUP(C5,'Nemlig Q3'!$A$2:$H$66,5,FALSE),0)</f>
        <v>0</v>
      </c>
      <c r="M5" s="145">
        <f>+IFERROR(VLOOKUP(C5,'Nemlig Q3'!$A$2:$H$66,8,FALSE),0)</f>
        <v>0</v>
      </c>
      <c r="N5" s="123">
        <v>491.5</v>
      </c>
      <c r="O5" s="124">
        <v>796.4</v>
      </c>
      <c r="P5" s="169"/>
      <c r="Q5" s="170"/>
      <c r="R5" s="151"/>
      <c r="S5" s="152"/>
      <c r="T5" s="182"/>
      <c r="U5" s="183"/>
      <c r="V5" s="102"/>
      <c r="W5" s="116"/>
      <c r="X5" s="116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ht="15.5" x14ac:dyDescent="0.35">
      <c r="A6" s="11" t="s">
        <v>94</v>
      </c>
      <c r="B6" s="35"/>
      <c r="C6" s="133"/>
      <c r="D6" s="133"/>
      <c r="E6" s="133"/>
      <c r="F6" s="133"/>
      <c r="G6" s="35" t="s">
        <v>171</v>
      </c>
      <c r="H6" s="35" t="s">
        <v>119</v>
      </c>
      <c r="I6" s="20" t="e">
        <f t="shared" ref="I6" si="3">(J6*100)/K6</f>
        <v>#DIV/0!</v>
      </c>
      <c r="J6" s="21">
        <f t="shared" ref="J6" si="4">+L6+N6+P6+R6+T6</f>
        <v>0</v>
      </c>
      <c r="K6" s="100">
        <f t="shared" ref="K6" si="5">+M6+O6+Q6+S6+U6</f>
        <v>0</v>
      </c>
      <c r="L6" s="145">
        <f>+IFERROR(VLOOKUP(C6,'Nemlig Q3'!$A$2:$H$66,5,FALSE),0)</f>
        <v>0</v>
      </c>
      <c r="M6" s="145">
        <f>+IFERROR(VLOOKUP(C6,'Nemlig Q3'!$A$2:$H$66,8,FALSE),0)</f>
        <v>0</v>
      </c>
      <c r="N6" s="21" t="str">
        <f>+IFERROR(VLOOKUP(B6,'Hørkram Q3'!$B$6:$H$60,7,FALSE),"0")</f>
        <v>0</v>
      </c>
      <c r="O6" s="100" t="str">
        <f>+IFERROR(VLOOKUP(B6,'Hørkram Q3'!$B$6:$H$60,6,FALSE),"0")</f>
        <v>0</v>
      </c>
      <c r="P6" s="171"/>
      <c r="Q6" s="172"/>
      <c r="R6" s="153"/>
      <c r="S6" s="154"/>
      <c r="T6" s="184"/>
      <c r="U6" s="185"/>
      <c r="V6" s="102"/>
      <c r="W6" s="116"/>
      <c r="X6" s="116"/>
    </row>
    <row r="7" spans="1:38" ht="15.5" x14ac:dyDescent="0.35">
      <c r="A7" s="11" t="s">
        <v>53</v>
      </c>
      <c r="B7" s="35">
        <v>200140070</v>
      </c>
      <c r="C7" s="133"/>
      <c r="D7" s="133"/>
      <c r="E7" s="133"/>
      <c r="F7" s="133"/>
      <c r="G7" s="35" t="s">
        <v>170</v>
      </c>
      <c r="H7" s="35" t="s">
        <v>117</v>
      </c>
      <c r="I7" s="20">
        <f t="shared" si="0"/>
        <v>88.599906877743777</v>
      </c>
      <c r="J7" s="21">
        <f t="shared" si="1"/>
        <v>1332.011</v>
      </c>
      <c r="K7" s="100">
        <f t="shared" si="2"/>
        <v>1503.4</v>
      </c>
      <c r="L7" s="145">
        <f>+IFERROR(VLOOKUP(C7,'Nemlig Q3'!$A$2:$H$66,5,FALSE),0)</f>
        <v>0</v>
      </c>
      <c r="M7" s="145">
        <f>+IFERROR(VLOOKUP(C7,'Nemlig Q3'!$A$2:$H$66,8,FALSE),0)</f>
        <v>0</v>
      </c>
      <c r="N7" s="21">
        <f>+IFERROR(VLOOKUP(B7,'Hørkram Q3'!$B$6:$H$60,7,FALSE),"0")</f>
        <v>1332.011</v>
      </c>
      <c r="O7" s="100">
        <f>+IFERROR(VLOOKUP(B7,'Hørkram Q3'!$B$6:$H$60,6,FALSE),"0")</f>
        <v>1503.4</v>
      </c>
      <c r="P7" s="171"/>
      <c r="Q7" s="172"/>
      <c r="R7" s="153"/>
      <c r="S7" s="155"/>
      <c r="T7" s="184"/>
      <c r="U7" s="185"/>
      <c r="V7" s="102"/>
      <c r="W7" s="116"/>
      <c r="X7" s="116"/>
    </row>
    <row r="8" spans="1:38" ht="15.5" x14ac:dyDescent="0.35">
      <c r="A8" s="11" t="s">
        <v>26</v>
      </c>
      <c r="B8" s="35">
        <v>200544489</v>
      </c>
      <c r="C8" s="133">
        <v>1017028</v>
      </c>
      <c r="D8" s="133"/>
      <c r="E8" s="133"/>
      <c r="F8" s="133"/>
      <c r="G8" s="35" t="s">
        <v>170</v>
      </c>
      <c r="H8" s="35" t="s">
        <v>117</v>
      </c>
      <c r="I8" s="20">
        <f t="shared" si="0"/>
        <v>71.761389059663657</v>
      </c>
      <c r="J8" s="21">
        <f t="shared" si="1"/>
        <v>986.32799999999997</v>
      </c>
      <c r="K8" s="100">
        <f t="shared" si="2"/>
        <v>1374.4549999999999</v>
      </c>
      <c r="L8" s="145">
        <f>+IFERROR(VLOOKUP(C8,'Nemlig Q3'!$A$2:$H$66,5,FALSE),0)</f>
        <v>0</v>
      </c>
      <c r="M8" s="145">
        <f>+IFERROR(VLOOKUP(C8,'Nemlig Q3'!$A$2:$H$66,8,FALSE),0)</f>
        <v>0</v>
      </c>
      <c r="N8" s="21">
        <f>+IFERROR(VLOOKUP(B8,'Hørkram Q3'!$B$6:$H$60,7,FALSE),"0")</f>
        <v>986.32799999999997</v>
      </c>
      <c r="O8" s="100">
        <f>+IFERROR(VLOOKUP(B8,'Hørkram Q3'!$B$6:$H$60,6,FALSE),"0")</f>
        <v>1368.375</v>
      </c>
      <c r="P8" s="173"/>
      <c r="Q8" s="174"/>
      <c r="R8" s="153"/>
      <c r="S8" s="155">
        <v>6.08</v>
      </c>
      <c r="T8" s="184"/>
      <c r="U8" s="185"/>
      <c r="V8" s="102"/>
      <c r="W8" s="116"/>
      <c r="X8" s="116"/>
    </row>
    <row r="9" spans="1:38" ht="15.5" x14ac:dyDescent="0.35">
      <c r="A9" s="11" t="s">
        <v>3</v>
      </c>
      <c r="B9" s="35">
        <v>200012834</v>
      </c>
      <c r="C9" s="133"/>
      <c r="D9" s="133"/>
      <c r="E9" s="133"/>
      <c r="F9" s="133"/>
      <c r="G9" s="35" t="s">
        <v>170</v>
      </c>
      <c r="H9" s="35" t="s">
        <v>117</v>
      </c>
      <c r="I9" s="20">
        <f t="shared" si="0"/>
        <v>80.091023852235736</v>
      </c>
      <c r="J9" s="21">
        <f t="shared" si="1"/>
        <v>1084.905</v>
      </c>
      <c r="K9" s="100">
        <f t="shared" si="2"/>
        <v>1354.59</v>
      </c>
      <c r="L9" s="145">
        <f>+IFERROR(VLOOKUP(C9,'Nemlig Q3'!$A$2:$H$66,5,FALSE),0)</f>
        <v>0</v>
      </c>
      <c r="M9" s="145">
        <f>+IFERROR(VLOOKUP(C9,'Nemlig Q3'!$A$2:$H$66,8,FALSE),0)</f>
        <v>0</v>
      </c>
      <c r="N9" s="21">
        <f>+IFERROR(VLOOKUP(B9,'Hørkram Q3'!$B$6:$H$60,7,FALSE),"0")</f>
        <v>1084.905</v>
      </c>
      <c r="O9" s="100">
        <f>+IFERROR(VLOOKUP(B9,'Hørkram Q3'!$B$6:$H$60,6,FALSE),"0")</f>
        <v>1354.59</v>
      </c>
      <c r="P9" s="171"/>
      <c r="Q9" s="172"/>
      <c r="R9" s="156"/>
      <c r="S9" s="157"/>
      <c r="T9" s="184"/>
      <c r="U9" s="185"/>
      <c r="V9" s="102"/>
      <c r="W9" s="116"/>
      <c r="X9" s="116"/>
    </row>
    <row r="10" spans="1:38" x14ac:dyDescent="0.25">
      <c r="A10" s="11" t="s">
        <v>174</v>
      </c>
      <c r="B10" s="35">
        <v>200194837</v>
      </c>
      <c r="C10" s="133">
        <v>2232789</v>
      </c>
      <c r="D10" s="133"/>
      <c r="E10" s="133"/>
      <c r="F10" s="133"/>
      <c r="G10" s="35" t="s">
        <v>171</v>
      </c>
      <c r="H10" s="35" t="s">
        <v>124</v>
      </c>
      <c r="I10" s="20">
        <f t="shared" ref="I10" si="6">(J10*100)/K10</f>
        <v>8.2452830188679247</v>
      </c>
      <c r="J10" s="21">
        <f t="shared" ref="J10" si="7">+L10+N10+P10+R10+T10</f>
        <v>4.37</v>
      </c>
      <c r="K10" s="100">
        <f t="shared" ref="K10" si="8">+M10+O10+Q10+S10+U10</f>
        <v>53</v>
      </c>
      <c r="L10" s="145">
        <f>+IFERROR(VLOOKUP(C10,'Nemlig Q3'!$A$2:$H$66,5,FALSE),0)</f>
        <v>4.37</v>
      </c>
      <c r="M10" s="145">
        <f>+IFERROR(VLOOKUP(C10,'Nemlig Q3'!$A$2:$H$66,8,FALSE),0)</f>
        <v>53</v>
      </c>
      <c r="N10" s="21" t="str">
        <f>+IFERROR(VLOOKUP(B10,'Hørkram Q3'!$B$6:$H$60,7,FALSE),"0")</f>
        <v>0</v>
      </c>
      <c r="O10" s="100" t="str">
        <f>+IFERROR(VLOOKUP(B10,'Hørkram Q3'!$B$6:$H$60,6,FALSE),"0")</f>
        <v>0</v>
      </c>
      <c r="P10" s="173"/>
      <c r="Q10" s="174"/>
      <c r="R10" s="156"/>
      <c r="S10" s="157"/>
      <c r="T10" s="184"/>
      <c r="U10" s="185"/>
      <c r="V10" s="102"/>
      <c r="W10" s="116"/>
      <c r="X10" s="116"/>
    </row>
    <row r="11" spans="1:38" ht="15.5" x14ac:dyDescent="0.35">
      <c r="A11" s="11" t="s">
        <v>13</v>
      </c>
      <c r="B11" s="35">
        <v>200809045</v>
      </c>
      <c r="C11" s="133"/>
      <c r="D11" s="133"/>
      <c r="E11" s="133"/>
      <c r="F11" s="133"/>
      <c r="G11" s="35" t="s">
        <v>170</v>
      </c>
      <c r="H11" s="35" t="s">
        <v>117</v>
      </c>
      <c r="I11" s="20">
        <f t="shared" si="0"/>
        <v>98.749894246104162</v>
      </c>
      <c r="J11" s="21">
        <f t="shared" si="1"/>
        <v>2346.0990000000002</v>
      </c>
      <c r="K11" s="100">
        <f t="shared" si="2"/>
        <v>2375.799</v>
      </c>
      <c r="L11" s="145">
        <f>+IFERROR(VLOOKUP(C11,'Nemlig Q3'!$A$2:$H$66,5,FALSE),0)</f>
        <v>0</v>
      </c>
      <c r="M11" s="145">
        <f>+IFERROR(VLOOKUP(C11,'Nemlig Q3'!$A$2:$H$66,8,FALSE),0)</f>
        <v>0</v>
      </c>
      <c r="N11" s="21">
        <f>+IFERROR(VLOOKUP(B11,'Hørkram Q3'!$B$6:$H$60,7,FALSE),"0")</f>
        <v>2345.1990000000001</v>
      </c>
      <c r="O11" s="100">
        <f>+IFERROR(VLOOKUP(B11,'Hørkram Q3'!$B$6:$H$60,6,FALSE),"0")</f>
        <v>2346.0990000000002</v>
      </c>
      <c r="P11" s="175"/>
      <c r="Q11" s="172"/>
      <c r="R11" s="158">
        <v>0.9</v>
      </c>
      <c r="S11" s="155">
        <v>29.7</v>
      </c>
      <c r="T11" s="184"/>
      <c r="U11" s="185"/>
      <c r="V11" s="102"/>
      <c r="W11" s="116"/>
      <c r="X11" s="116"/>
    </row>
    <row r="12" spans="1:38" ht="15.5" x14ac:dyDescent="0.35">
      <c r="A12" s="11" t="s">
        <v>161</v>
      </c>
      <c r="B12" s="35">
        <v>200544472</v>
      </c>
      <c r="C12" s="133"/>
      <c r="D12" s="133"/>
      <c r="E12" s="133"/>
      <c r="F12" s="133"/>
      <c r="G12" s="35" t="s">
        <v>170</v>
      </c>
      <c r="H12" s="35" t="s">
        <v>117</v>
      </c>
      <c r="I12" s="20">
        <f t="shared" si="0"/>
        <v>81.917128149314337</v>
      </c>
      <c r="J12" s="21">
        <f t="shared" si="1"/>
        <v>2083.3589999999999</v>
      </c>
      <c r="K12" s="100">
        <f t="shared" si="2"/>
        <v>2543.252</v>
      </c>
      <c r="L12" s="145">
        <f>+IFERROR(VLOOKUP(C12,'Nemlig Q3'!$A$2:$H$66,5,FALSE),0)</f>
        <v>0</v>
      </c>
      <c r="M12" s="145">
        <f>+IFERROR(VLOOKUP(C12,'Nemlig Q3'!$A$2:$H$66,8,FALSE),0)</f>
        <v>0</v>
      </c>
      <c r="N12" s="21">
        <f>+IFERROR(VLOOKUP(B12,'Hørkram Q3'!$B$6:$H$60,7,FALSE),"0")</f>
        <v>2083.3589999999999</v>
      </c>
      <c r="O12" s="100">
        <f>+IFERROR(VLOOKUP(B12,'Hørkram Q3'!$B$6:$H$60,6,FALSE),"0")</f>
        <v>2543.252</v>
      </c>
      <c r="P12" s="171"/>
      <c r="Q12" s="172"/>
      <c r="R12" s="156"/>
      <c r="S12" s="159"/>
      <c r="T12" s="184"/>
      <c r="U12" s="18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ht="15.5" x14ac:dyDescent="0.35">
      <c r="A13" s="11" t="s">
        <v>20</v>
      </c>
      <c r="B13" s="35">
        <v>200011554</v>
      </c>
      <c r="C13" s="133"/>
      <c r="D13" s="133"/>
      <c r="E13" s="133"/>
      <c r="F13" s="133"/>
      <c r="G13" s="35" t="s">
        <v>170</v>
      </c>
      <c r="H13" s="35" t="s">
        <v>117</v>
      </c>
      <c r="I13" s="20">
        <f t="shared" si="0"/>
        <v>99.108830068210395</v>
      </c>
      <c r="J13" s="21">
        <f t="shared" si="1"/>
        <v>1361.0129999999999</v>
      </c>
      <c r="K13" s="100">
        <f t="shared" si="2"/>
        <v>1373.251</v>
      </c>
      <c r="L13" s="145">
        <f>+IFERROR(VLOOKUP(C13,'Nemlig Q3'!$A$2:$H$66,5,FALSE),0)</f>
        <v>0</v>
      </c>
      <c r="M13" s="145">
        <f>+IFERROR(VLOOKUP(C13,'Nemlig Q3'!$A$2:$H$66,8,FALSE),0)</f>
        <v>0</v>
      </c>
      <c r="N13" s="21">
        <f>+IFERROR(VLOOKUP(B13,'Hørkram Q3'!$B$6:$H$60,7,FALSE),"0")</f>
        <v>1361.0129999999999</v>
      </c>
      <c r="O13" s="100">
        <f>+IFERROR(VLOOKUP(B13,'Hørkram Q3'!$B$6:$H$60,6,FALSE),"0")</f>
        <v>1361.0129999999999</v>
      </c>
      <c r="P13" s="171"/>
      <c r="Q13" s="172"/>
      <c r="R13" s="158"/>
      <c r="S13" s="155">
        <v>12.238</v>
      </c>
      <c r="T13" s="184"/>
      <c r="U13" s="185"/>
    </row>
    <row r="14" spans="1:38" ht="15.5" x14ac:dyDescent="0.35">
      <c r="A14" s="11" t="s">
        <v>101</v>
      </c>
      <c r="B14" s="35">
        <v>200050751</v>
      </c>
      <c r="C14" s="133"/>
      <c r="D14" s="133"/>
      <c r="E14" s="133"/>
      <c r="F14" s="133"/>
      <c r="G14" s="35" t="s">
        <v>170</v>
      </c>
      <c r="H14" s="35" t="s">
        <v>117</v>
      </c>
      <c r="I14" s="20">
        <f t="shared" si="0"/>
        <v>97.37542195404167</v>
      </c>
      <c r="J14" s="21">
        <f t="shared" si="1"/>
        <v>509.142</v>
      </c>
      <c r="K14" s="100">
        <f t="shared" si="2"/>
        <v>522.86500000000001</v>
      </c>
      <c r="L14" s="145">
        <f>+IFERROR(VLOOKUP(C14,'Nemlig Q3'!$A$2:$H$66,5,FALSE),0)</f>
        <v>0</v>
      </c>
      <c r="M14" s="145">
        <f>+IFERROR(VLOOKUP(C14,'Nemlig Q3'!$A$2:$H$66,8,FALSE),0)</f>
        <v>0</v>
      </c>
      <c r="N14" s="21">
        <f>+IFERROR(VLOOKUP(B14,'Hørkram Q3'!$B$6:$H$60,7,FALSE),"0")</f>
        <v>506.142</v>
      </c>
      <c r="O14" s="100">
        <f>+IFERROR(VLOOKUP(B14,'Hørkram Q3'!$B$6:$H$60,6,FALSE),"0")</f>
        <v>519.38499999999999</v>
      </c>
      <c r="P14" s="173"/>
      <c r="Q14" s="174"/>
      <c r="R14" s="158">
        <v>3</v>
      </c>
      <c r="S14" s="158">
        <f>6.96/2</f>
        <v>3.48</v>
      </c>
      <c r="T14" s="21"/>
      <c r="U14" s="157"/>
    </row>
    <row r="15" spans="1:38" ht="15.5" x14ac:dyDescent="0.35">
      <c r="A15" s="11" t="s">
        <v>102</v>
      </c>
      <c r="B15" s="35">
        <v>200040875</v>
      </c>
      <c r="C15" s="133"/>
      <c r="D15" s="133"/>
      <c r="E15" s="133"/>
      <c r="F15" s="133"/>
      <c r="G15" s="35" t="s">
        <v>170</v>
      </c>
      <c r="H15" s="35" t="s">
        <v>117</v>
      </c>
      <c r="I15" s="20">
        <f t="shared" si="0"/>
        <v>94.027098851455364</v>
      </c>
      <c r="J15" s="21">
        <f t="shared" si="1"/>
        <v>1443.221</v>
      </c>
      <c r="K15" s="100">
        <f t="shared" si="2"/>
        <v>1534.8990000000001</v>
      </c>
      <c r="L15" s="145">
        <f>+IFERROR(VLOOKUP(C15,'Nemlig Q3'!$A$2:$H$66,5,FALSE),0)</f>
        <v>0</v>
      </c>
      <c r="M15" s="145">
        <f>+IFERROR(VLOOKUP(C15,'Nemlig Q3'!$A$2:$H$66,8,FALSE),0)</f>
        <v>0</v>
      </c>
      <c r="N15" s="21">
        <f>+IFERROR(VLOOKUP(B15,'Hørkram Q3'!$B$6:$H$60,7,FALSE),"0")</f>
        <v>1440.221</v>
      </c>
      <c r="O15" s="100">
        <f>+IFERROR(VLOOKUP(B15,'Hørkram Q3'!$B$6:$H$60,6,FALSE),"0")</f>
        <v>1531.4190000000001</v>
      </c>
      <c r="P15" s="171"/>
      <c r="Q15" s="172"/>
      <c r="R15" s="158">
        <v>3</v>
      </c>
      <c r="S15" s="158">
        <f>6.96/2</f>
        <v>3.48</v>
      </c>
      <c r="T15" s="184"/>
      <c r="U15" s="185"/>
    </row>
    <row r="16" spans="1:38" ht="15.5" x14ac:dyDescent="0.35">
      <c r="A16" s="11" t="s">
        <v>46</v>
      </c>
      <c r="B16" s="35">
        <v>200141541</v>
      </c>
      <c r="C16" s="133">
        <v>2163076</v>
      </c>
      <c r="D16" s="133"/>
      <c r="E16" s="133"/>
      <c r="F16" s="133"/>
      <c r="G16" s="35" t="s">
        <v>170</v>
      </c>
      <c r="H16" s="35" t="s">
        <v>117</v>
      </c>
      <c r="I16" s="20">
        <f t="shared" si="0"/>
        <v>87.674739290945794</v>
      </c>
      <c r="J16" s="21">
        <f t="shared" si="1"/>
        <v>1225.201</v>
      </c>
      <c r="K16" s="100">
        <f t="shared" si="2"/>
        <v>1397.4390000000001</v>
      </c>
      <c r="L16" s="145">
        <f>+IFERROR(VLOOKUP(C16,'Nemlig Q3'!$A$2:$H$66,5,FALSE),0)</f>
        <v>0</v>
      </c>
      <c r="M16" s="145">
        <f>+IFERROR(VLOOKUP(C16,'Nemlig Q3'!$A$2:$H$66,8,FALSE),0)</f>
        <v>0</v>
      </c>
      <c r="N16" s="21">
        <f>+IFERROR(VLOOKUP(B16,'Hørkram Q3'!$B$6:$H$60,7,FALSE),"0")</f>
        <v>1210.201</v>
      </c>
      <c r="O16" s="100">
        <f>+IFERROR(VLOOKUP(B16,'Hørkram Q3'!$B$6:$H$60,6,FALSE),"0")</f>
        <v>1382.4390000000001</v>
      </c>
      <c r="P16" s="171"/>
      <c r="Q16" s="172"/>
      <c r="R16" s="156">
        <v>15</v>
      </c>
      <c r="S16" s="159">
        <v>15</v>
      </c>
      <c r="T16" s="184"/>
      <c r="U16" s="185"/>
    </row>
    <row r="17" spans="1:24" ht="15.5" x14ac:dyDescent="0.35">
      <c r="A17" s="11" t="s">
        <v>97</v>
      </c>
      <c r="B17" s="35">
        <v>200514277</v>
      </c>
      <c r="C17" s="133">
        <v>1017035</v>
      </c>
      <c r="D17" s="133"/>
      <c r="E17" s="133"/>
      <c r="F17" s="133"/>
      <c r="G17" s="35" t="s">
        <v>170</v>
      </c>
      <c r="H17" s="35" t="s">
        <v>117</v>
      </c>
      <c r="I17" s="20">
        <f t="shared" si="0"/>
        <v>92.64906002309462</v>
      </c>
      <c r="J17" s="21">
        <f t="shared" si="1"/>
        <v>1132.9090000000001</v>
      </c>
      <c r="K17" s="100">
        <f t="shared" si="2"/>
        <v>1222.796</v>
      </c>
      <c r="L17" s="145">
        <f>+IFERROR(VLOOKUP(C17,'Nemlig Q3'!$A$2:$H$66,5,FALSE),0)</f>
        <v>0</v>
      </c>
      <c r="M17" s="145">
        <f>+IFERROR(VLOOKUP(C17,'Nemlig Q3'!$A$2:$H$66,8,FALSE),0)</f>
        <v>0</v>
      </c>
      <c r="N17" s="21">
        <f>+IFERROR(VLOOKUP(B17,'Hørkram Q3'!$B$6:$H$60,7,FALSE),"0")</f>
        <v>1124.9090000000001</v>
      </c>
      <c r="O17" s="100">
        <f>+IFERROR(VLOOKUP(B17,'Hørkram Q3'!$B$6:$H$60,6,FALSE),"0")</f>
        <v>1213.5540000000001</v>
      </c>
      <c r="P17" s="171"/>
      <c r="Q17" s="172"/>
      <c r="R17" s="156">
        <v>8</v>
      </c>
      <c r="S17" s="159">
        <v>9.2420000000000009</v>
      </c>
      <c r="T17" s="184"/>
      <c r="U17" s="185"/>
    </row>
    <row r="18" spans="1:24" ht="15.5" x14ac:dyDescent="0.35">
      <c r="A18" s="11" t="s">
        <v>226</v>
      </c>
      <c r="B18" s="35"/>
      <c r="C18" s="133">
        <v>1198425</v>
      </c>
      <c r="D18" s="133"/>
      <c r="E18" s="133"/>
      <c r="F18" s="133"/>
      <c r="G18" s="35" t="s">
        <v>170</v>
      </c>
      <c r="H18" s="35" t="s">
        <v>117</v>
      </c>
      <c r="I18" s="20">
        <f t="shared" ref="I18" si="9">(J18*100)/K18</f>
        <v>45.888582414402073</v>
      </c>
      <c r="J18" s="21">
        <f t="shared" ref="J18" si="10">+L18+N18+P18+R18+T18</f>
        <v>155.387</v>
      </c>
      <c r="K18" s="100">
        <f t="shared" ref="K18" si="11">+M18+O18+Q18+S18+U18</f>
        <v>338.61799999999999</v>
      </c>
      <c r="L18" s="145">
        <f>+IFERROR(VLOOKUP(C18,'Nemlig Q3'!$A$2:$H$66,5,FALSE),0)</f>
        <v>155.387</v>
      </c>
      <c r="M18" s="145">
        <f>+IFERROR(VLOOKUP(C18,'Nemlig Q3'!$A$2:$H$66,8,FALSE),0)</f>
        <v>338.61799999999999</v>
      </c>
      <c r="N18" s="21" t="str">
        <f>+IFERROR(VLOOKUP(B18,'Hørkram Q3'!$B$6:$H$60,7,FALSE),"0")</f>
        <v>0</v>
      </c>
      <c r="O18" s="100" t="str">
        <f>+IFERROR(VLOOKUP(B18,'Hørkram Q3'!$B$6:$H$60,6,FALSE),"0")</f>
        <v>0</v>
      </c>
      <c r="P18" s="171"/>
      <c r="Q18" s="172"/>
      <c r="R18" s="156"/>
      <c r="S18" s="159"/>
      <c r="T18" s="184"/>
      <c r="U18" s="185"/>
    </row>
    <row r="19" spans="1:24" ht="15.5" x14ac:dyDescent="0.35">
      <c r="A19" s="11" t="s">
        <v>79</v>
      </c>
      <c r="B19" s="35">
        <v>200135519</v>
      </c>
      <c r="C19" s="133"/>
      <c r="D19" s="133"/>
      <c r="E19" s="133"/>
      <c r="F19" s="133"/>
      <c r="G19" s="35" t="s">
        <v>170</v>
      </c>
      <c r="H19" s="35" t="s">
        <v>117</v>
      </c>
      <c r="I19" s="20">
        <f t="shared" si="0"/>
        <v>90.553684739760158</v>
      </c>
      <c r="J19" s="21">
        <f t="shared" si="1"/>
        <v>983.39400000000001</v>
      </c>
      <c r="K19" s="100">
        <f t="shared" si="2"/>
        <v>1085.979</v>
      </c>
      <c r="L19" s="145">
        <f>+IFERROR(VLOOKUP(C19,'Nemlig Q3'!$A$2:$H$66,5,FALSE),0)</f>
        <v>0</v>
      </c>
      <c r="M19" s="145">
        <f>+IFERROR(VLOOKUP(C19,'Nemlig Q3'!$A$2:$H$66,8,FALSE),0)</f>
        <v>0</v>
      </c>
      <c r="N19" s="21">
        <f>+IFERROR(VLOOKUP(B19,'Hørkram Q3'!$B$6:$H$60,7,FALSE),"0")</f>
        <v>983.39400000000001</v>
      </c>
      <c r="O19" s="100">
        <f>+IFERROR(VLOOKUP(B19,'Hørkram Q3'!$B$6:$H$60,6,FALSE),"0")</f>
        <v>1085.979</v>
      </c>
      <c r="P19" s="173"/>
      <c r="Q19" s="174"/>
      <c r="R19" s="158"/>
      <c r="S19" s="155"/>
      <c r="T19" s="184"/>
      <c r="U19" s="185"/>
    </row>
    <row r="20" spans="1:24" ht="15.5" x14ac:dyDescent="0.35">
      <c r="A20" s="11" t="s">
        <v>4</v>
      </c>
      <c r="B20" s="35">
        <v>200025919</v>
      </c>
      <c r="C20" s="133">
        <v>1017038</v>
      </c>
      <c r="D20" s="133"/>
      <c r="E20" s="133"/>
      <c r="F20" s="133"/>
      <c r="G20" s="35" t="s">
        <v>170</v>
      </c>
      <c r="H20" s="35" t="s">
        <v>117</v>
      </c>
      <c r="I20" s="20">
        <f t="shared" si="0"/>
        <v>99.813018994103089</v>
      </c>
      <c r="J20" s="21">
        <f t="shared" si="1"/>
        <v>1638.808</v>
      </c>
      <c r="K20" s="100">
        <f t="shared" si="2"/>
        <v>1641.8779999999999</v>
      </c>
      <c r="L20" s="145">
        <f>+IFERROR(VLOOKUP(C20,'Nemlig Q3'!$A$2:$H$66,5,FALSE),0)</f>
        <v>8.23</v>
      </c>
      <c r="M20" s="145">
        <f>+IFERROR(VLOOKUP(C20,'Nemlig Q3'!$A$2:$H$66,8,FALSE),0)</f>
        <v>8.23</v>
      </c>
      <c r="N20" s="21">
        <f>+IFERROR(VLOOKUP(B20,'Hørkram Q3'!$B$6:$H$60,7,FALSE),"0")</f>
        <v>1618.434</v>
      </c>
      <c r="O20" s="100">
        <f>+IFERROR(VLOOKUP(B20,'Hørkram Q3'!$B$6:$H$60,6,FALSE),"0")</f>
        <v>1621.5039999999999</v>
      </c>
      <c r="P20" s="171"/>
      <c r="Q20" s="172"/>
      <c r="R20" s="158">
        <v>12.144</v>
      </c>
      <c r="S20" s="155">
        <v>12.144</v>
      </c>
      <c r="T20" s="184"/>
      <c r="U20" s="185"/>
    </row>
    <row r="21" spans="1:24" ht="15.5" x14ac:dyDescent="0.35">
      <c r="A21" s="11" t="s">
        <v>5</v>
      </c>
      <c r="B21" s="35">
        <v>200025926</v>
      </c>
      <c r="C21" s="133"/>
      <c r="D21" s="133"/>
      <c r="E21" s="133"/>
      <c r="F21" s="133"/>
      <c r="G21" s="35" t="s">
        <v>170</v>
      </c>
      <c r="H21" s="35" t="s">
        <v>117</v>
      </c>
      <c r="I21" s="20">
        <f t="shared" si="0"/>
        <v>86.078895447237585</v>
      </c>
      <c r="J21" s="21">
        <f>+L21+N21+P21+R22+T21</f>
        <v>2295.2860000000001</v>
      </c>
      <c r="K21" s="100">
        <f t="shared" si="2"/>
        <v>2666.491</v>
      </c>
      <c r="L21" s="145">
        <f>+IFERROR(VLOOKUP(C21,'Nemlig Q3'!$A$2:$H$66,5,FALSE),0)</f>
        <v>0</v>
      </c>
      <c r="M21" s="145">
        <f>+IFERROR(VLOOKUP(C21,'Nemlig Q3'!$A$2:$H$66,8,FALSE),0)</f>
        <v>0</v>
      </c>
      <c r="N21" s="21">
        <f>+IFERROR(VLOOKUP(B21,'Hørkram Q3'!$B$6:$H$60,7,FALSE),"0")</f>
        <v>2294.2860000000001</v>
      </c>
      <c r="O21" s="100">
        <f>+IFERROR(VLOOKUP(B21,'Hørkram Q3'!$B$6:$H$60,6,FALSE),"0")</f>
        <v>2604.491</v>
      </c>
      <c r="P21" s="173"/>
      <c r="Q21" s="174"/>
      <c r="S21" s="155">
        <v>62</v>
      </c>
      <c r="T21" s="184"/>
      <c r="U21" s="185"/>
    </row>
    <row r="22" spans="1:24" ht="15.5" x14ac:dyDescent="0.35">
      <c r="A22" s="11" t="s">
        <v>55</v>
      </c>
      <c r="B22" s="35">
        <v>200159577</v>
      </c>
      <c r="C22" s="133"/>
      <c r="D22" s="133"/>
      <c r="E22" s="133"/>
      <c r="F22" s="133"/>
      <c r="G22" s="35" t="s">
        <v>170</v>
      </c>
      <c r="H22" s="35" t="s">
        <v>117</v>
      </c>
      <c r="I22" s="20">
        <f t="shared" si="0"/>
        <v>97.648590526976946</v>
      </c>
      <c r="J22" s="21">
        <f>+L22+N22+P22+R23+T22</f>
        <v>2817.0720000000001</v>
      </c>
      <c r="K22" s="100">
        <f t="shared" si="2"/>
        <v>2884.9079999999999</v>
      </c>
      <c r="L22" s="145">
        <f>+IFERROR(VLOOKUP(C22,'Nemlig Q3'!$A$2:$H$66,5,FALSE),0)</f>
        <v>0</v>
      </c>
      <c r="M22" s="145">
        <f>+IFERROR(VLOOKUP(C22,'Nemlig Q3'!$A$2:$H$66,8,FALSE),0)</f>
        <v>0</v>
      </c>
      <c r="N22" s="21">
        <f>+IFERROR(VLOOKUP(B22,'Hørkram Q3'!$B$6:$H$60,7,FALSE),"0")</f>
        <v>2817.0720000000001</v>
      </c>
      <c r="O22" s="100">
        <f>+IFERROR(VLOOKUP(B22,'Hørkram Q3'!$B$6:$H$60,6,FALSE),"0")</f>
        <v>2883.9079999999999</v>
      </c>
      <c r="P22" s="171"/>
      <c r="Q22" s="172"/>
      <c r="R22" s="158">
        <v>1</v>
      </c>
      <c r="S22" s="155">
        <v>1</v>
      </c>
      <c r="T22" s="184"/>
      <c r="U22" s="185"/>
    </row>
    <row r="23" spans="1:24" x14ac:dyDescent="0.35">
      <c r="A23" s="11" t="s">
        <v>125</v>
      </c>
      <c r="B23" s="35">
        <v>200095578</v>
      </c>
      <c r="C23" s="133">
        <v>2243447</v>
      </c>
      <c r="D23" s="133"/>
      <c r="E23" s="133"/>
      <c r="F23" s="133"/>
      <c r="G23" s="35" t="s">
        <v>170</v>
      </c>
      <c r="H23" s="35" t="s">
        <v>119</v>
      </c>
      <c r="I23" s="20">
        <f t="shared" si="0"/>
        <v>88.186293070806514</v>
      </c>
      <c r="J23" s="21">
        <f>+L23+N23+P23+R23+T23</f>
        <v>93.16</v>
      </c>
      <c r="K23" s="100">
        <f t="shared" si="2"/>
        <v>105.64</v>
      </c>
      <c r="L23" s="145">
        <f>+IFERROR(VLOOKUP(C23,'Nemlig Q3'!$A$2:$H$66,5,FALSE),0)</f>
        <v>93.16</v>
      </c>
      <c r="M23" s="145">
        <f>+IFERROR(VLOOKUP(C23,'Nemlig Q3'!$A$2:$H$66,8,FALSE),0)</f>
        <v>94.933999999999997</v>
      </c>
      <c r="N23" s="21">
        <f>+IFERROR(VLOOKUP(B23,'Hørkram Q3'!$B$6:$H$60,7,FALSE),"0")</f>
        <v>0</v>
      </c>
      <c r="O23" s="100">
        <f>+IFERROR(VLOOKUP(B23,'Hørkram Q3'!$B$6:$H$60,6,FALSE),"0")</f>
        <v>10.706</v>
      </c>
      <c r="P23" s="173"/>
      <c r="Q23" s="174"/>
      <c r="R23" s="156"/>
      <c r="S23" s="157"/>
      <c r="T23" s="184"/>
      <c r="U23" s="185"/>
    </row>
    <row r="24" spans="1:24" x14ac:dyDescent="0.25">
      <c r="A24" s="15" t="s">
        <v>100</v>
      </c>
      <c r="B24" s="35"/>
      <c r="C24" s="133">
        <v>2251396</v>
      </c>
      <c r="D24" s="133"/>
      <c r="E24" s="133"/>
      <c r="F24" s="133"/>
      <c r="G24" s="35" t="s">
        <v>170</v>
      </c>
      <c r="H24" s="35" t="s">
        <v>124</v>
      </c>
      <c r="I24" s="20" t="str">
        <f>IFERROR(((J24*100)/K24)," ")</f>
        <v xml:space="preserve"> </v>
      </c>
      <c r="J24" s="21">
        <f t="shared" ref="J24" si="12">+L24+N24+P24+R24+T24</f>
        <v>0</v>
      </c>
      <c r="K24" s="100">
        <f>+M24+O24+Q24+S24+U24</f>
        <v>0</v>
      </c>
      <c r="L24" s="145">
        <f>+IFERROR(VLOOKUP(C24,'Nemlig Q3'!$A$2:$H$66,5,FALSE),0)</f>
        <v>0</v>
      </c>
      <c r="M24" s="145">
        <f>+IFERROR(VLOOKUP(C24,'Nemlig Q3'!$A$2:$H$66,8,FALSE),0)</f>
        <v>0</v>
      </c>
      <c r="N24" s="21" t="str">
        <f>+IFERROR(VLOOKUP(B24,'Hørkram Q3'!$B$6:$H$60,7,FALSE),"0")</f>
        <v>0</v>
      </c>
      <c r="O24" s="100" t="str">
        <f>+IFERROR(VLOOKUP(B24,'Hørkram Q3'!$B$6:$H$60,6,FALSE),"0")</f>
        <v>0</v>
      </c>
      <c r="P24" s="173"/>
      <c r="Q24" s="174"/>
      <c r="R24" s="156"/>
      <c r="S24" s="157"/>
      <c r="T24" s="184"/>
      <c r="U24" s="185"/>
      <c r="V24" s="102"/>
      <c r="W24" s="116"/>
      <c r="X24" s="116"/>
    </row>
    <row r="25" spans="1:24" ht="15.5" x14ac:dyDescent="0.35">
      <c r="A25" s="15" t="s">
        <v>6</v>
      </c>
      <c r="B25" s="35">
        <v>200034485</v>
      </c>
      <c r="C25" s="133">
        <v>1017649</v>
      </c>
      <c r="D25" s="133"/>
      <c r="E25" s="133"/>
      <c r="F25" s="133"/>
      <c r="G25" s="35" t="s">
        <v>170</v>
      </c>
      <c r="H25" s="35" t="s">
        <v>117</v>
      </c>
      <c r="I25" s="20">
        <f t="shared" si="0"/>
        <v>99.399705107531418</v>
      </c>
      <c r="J25" s="21">
        <f t="shared" si="1"/>
        <v>1295.701</v>
      </c>
      <c r="K25" s="100">
        <f t="shared" si="2"/>
        <v>1303.5260000000001</v>
      </c>
      <c r="L25" s="145">
        <f>+IFERROR(VLOOKUP(C25,'Nemlig Q3'!$A$2:$H$66,5,FALSE),0)</f>
        <v>0</v>
      </c>
      <c r="M25" s="145">
        <f>+IFERROR(VLOOKUP(C25,'Nemlig Q3'!$A$2:$H$66,8,FALSE),0)</f>
        <v>0</v>
      </c>
      <c r="N25" s="21">
        <f>+IFERROR(VLOOKUP(B25,'Hørkram Q3'!$B$6:$H$60,7,FALSE),"0")</f>
        <v>1295.701</v>
      </c>
      <c r="O25" s="100">
        <f>+IFERROR(VLOOKUP(B25,'Hørkram Q3'!$B$6:$H$60,6,FALSE),"0")</f>
        <v>1303.5260000000001</v>
      </c>
      <c r="P25" s="173"/>
      <c r="Q25" s="174"/>
      <c r="R25" s="158"/>
      <c r="S25" s="160"/>
      <c r="T25" s="184"/>
      <c r="U25" s="185"/>
      <c r="V25" s="102"/>
      <c r="W25" s="116"/>
      <c r="X25" s="116"/>
    </row>
    <row r="26" spans="1:24" ht="15.5" x14ac:dyDescent="0.35">
      <c r="A26" s="11" t="s">
        <v>36</v>
      </c>
      <c r="B26" s="35"/>
      <c r="C26" s="133"/>
      <c r="D26" s="133"/>
      <c r="E26" s="133"/>
      <c r="F26" s="133"/>
      <c r="G26" s="35" t="s">
        <v>171</v>
      </c>
      <c r="H26" s="35" t="s">
        <v>124</v>
      </c>
      <c r="I26" s="20">
        <f>IFERROR(((J26*100)/K26),"")</f>
        <v>100</v>
      </c>
      <c r="J26" s="21">
        <f t="shared" si="1"/>
        <v>16</v>
      </c>
      <c r="K26" s="100">
        <f t="shared" si="2"/>
        <v>16</v>
      </c>
      <c r="L26" s="145">
        <f>+IFERROR(VLOOKUP(C26,'Nemlig Q3'!$A$2:$H$66,5,FALSE),0)</f>
        <v>0</v>
      </c>
      <c r="M26" s="145">
        <f>+IFERROR(VLOOKUP(C26,'Nemlig Q3'!$A$2:$H$66,8,FALSE),0)</f>
        <v>0</v>
      </c>
      <c r="N26" s="21" t="str">
        <f>+IFERROR(VLOOKUP(B26,'Hørkram Q3'!$B$6:$H$60,7,FALSE),"0")</f>
        <v>0</v>
      </c>
      <c r="O26" s="100" t="str">
        <f>+IFERROR(VLOOKUP(B26,'Hørkram Q3'!$B$6:$H$60,6,FALSE),"0")</f>
        <v>0</v>
      </c>
      <c r="P26" s="171"/>
      <c r="Q26" s="172"/>
      <c r="R26" s="156">
        <v>16</v>
      </c>
      <c r="S26" s="159">
        <v>16</v>
      </c>
      <c r="T26" s="184"/>
      <c r="U26" s="185"/>
      <c r="V26" s="102"/>
      <c r="W26" s="116"/>
      <c r="X26" s="116"/>
    </row>
    <row r="27" spans="1:24" ht="15.5" x14ac:dyDescent="0.35">
      <c r="A27" s="11" t="s">
        <v>51</v>
      </c>
      <c r="B27" s="35"/>
      <c r="C27" s="133">
        <v>2251036</v>
      </c>
      <c r="D27" s="133"/>
      <c r="E27" s="133"/>
      <c r="F27" s="133"/>
      <c r="G27" s="35" t="s">
        <v>171</v>
      </c>
      <c r="H27" s="35" t="s">
        <v>124</v>
      </c>
      <c r="I27" s="20">
        <f>IFERROR(((J27*100)/K27),"")</f>
        <v>0</v>
      </c>
      <c r="J27" s="21">
        <f t="shared" si="1"/>
        <v>0</v>
      </c>
      <c r="K27" s="100">
        <f t="shared" si="2"/>
        <v>50</v>
      </c>
      <c r="L27" s="145">
        <f>+IFERROR(VLOOKUP(C27,'Nemlig Q3'!$A$2:$H$66,5,FALSE),0)</f>
        <v>0</v>
      </c>
      <c r="M27" s="145">
        <f>+IFERROR(VLOOKUP(C27,'Nemlig Q3'!$A$2:$H$66,8,FALSE),0)</f>
        <v>0</v>
      </c>
      <c r="N27" s="21" t="str">
        <f>+IFERROR(VLOOKUP(B27,'Hørkram Q3'!$B$6:$H$60,7,FALSE),"0")</f>
        <v>0</v>
      </c>
      <c r="O27" s="100" t="str">
        <f>+IFERROR(VLOOKUP(B27,'Hørkram Q3'!$B$6:$H$60,6,FALSE),"0")</f>
        <v>0</v>
      </c>
      <c r="P27" s="171"/>
      <c r="Q27" s="172"/>
      <c r="R27" s="158"/>
      <c r="S27" s="160">
        <v>50</v>
      </c>
      <c r="T27" s="184"/>
      <c r="U27" s="185"/>
      <c r="V27" s="102"/>
      <c r="W27" s="116"/>
      <c r="X27" s="116"/>
    </row>
    <row r="28" spans="1:24" x14ac:dyDescent="0.25">
      <c r="A28" s="11" t="s">
        <v>78</v>
      </c>
      <c r="B28" s="35"/>
      <c r="C28" s="133">
        <v>1192523</v>
      </c>
      <c r="D28" s="133"/>
      <c r="E28" s="133"/>
      <c r="F28" s="133"/>
      <c r="G28" s="35" t="s">
        <v>170</v>
      </c>
      <c r="H28" s="35" t="s">
        <v>120</v>
      </c>
      <c r="I28" s="20">
        <f t="shared" si="0"/>
        <v>4.1172005981240654</v>
      </c>
      <c r="J28" s="21">
        <f t="shared" si="1"/>
        <v>7.2690000000000001</v>
      </c>
      <c r="K28" s="100">
        <f t="shared" si="2"/>
        <v>176.55199999999999</v>
      </c>
      <c r="L28" s="145">
        <f>+IFERROR(VLOOKUP(C28,'Nemlig Q3'!$A$2:$H$66,5,FALSE),0)</f>
        <v>7.2690000000000001</v>
      </c>
      <c r="M28" s="145">
        <f>+IFERROR(VLOOKUP(C28,'Nemlig Q3'!$A$2:$H$66,8,FALSE),0)</f>
        <v>176.55199999999999</v>
      </c>
      <c r="N28" s="21" t="str">
        <f>+IFERROR(VLOOKUP(B28,'Hørkram Q3'!$B$6:$H$60,7,FALSE),"0")</f>
        <v>0</v>
      </c>
      <c r="O28" s="100" t="str">
        <f>+IFERROR(VLOOKUP(B28,'Hørkram Q3'!$B$6:$H$60,6,FALSE),"0")</f>
        <v>0</v>
      </c>
      <c r="P28" s="173"/>
      <c r="Q28" s="174"/>
      <c r="R28" s="156"/>
      <c r="S28" s="157"/>
      <c r="T28" s="184"/>
      <c r="U28" s="185"/>
      <c r="V28" s="102"/>
      <c r="W28" s="116"/>
      <c r="X28" s="116"/>
    </row>
    <row r="29" spans="1:24" x14ac:dyDescent="0.25">
      <c r="A29" s="11" t="s">
        <v>77</v>
      </c>
      <c r="B29" s="35"/>
      <c r="C29" s="133">
        <v>1149830</v>
      </c>
      <c r="D29" s="133"/>
      <c r="E29" s="133"/>
      <c r="F29" s="133"/>
      <c r="G29" s="35" t="s">
        <v>171</v>
      </c>
      <c r="H29" s="35" t="s">
        <v>124</v>
      </c>
      <c r="I29" s="20">
        <f>IFERROR(((J29*100)/K29)," ")</f>
        <v>2.9650422352176737</v>
      </c>
      <c r="J29" s="21">
        <f t="shared" si="1"/>
        <v>11.407999999999999</v>
      </c>
      <c r="K29" s="100">
        <f t="shared" si="2"/>
        <v>384.75</v>
      </c>
      <c r="L29" s="145">
        <f>+IFERROR(VLOOKUP(C29,'Nemlig Q3'!$A$2:$H$66,5,FALSE),0)</f>
        <v>1.4079999999999999</v>
      </c>
      <c r="M29" s="145">
        <f>+IFERROR(VLOOKUP(C29,'Nemlig Q3'!$A$2:$H$66,8,FALSE),0)</f>
        <v>374.75</v>
      </c>
      <c r="N29" s="21" t="str">
        <f>+IFERROR(VLOOKUP(B29,'Hørkram Q3'!$B$6:$H$60,7,FALSE),"0")</f>
        <v>0</v>
      </c>
      <c r="O29" s="100" t="str">
        <f>+IFERROR(VLOOKUP(B29,'Hørkram Q3'!$B$6:$H$60,6,FALSE),"0")</f>
        <v>0</v>
      </c>
      <c r="P29" s="173"/>
      <c r="Q29" s="174"/>
      <c r="R29" s="156">
        <v>10</v>
      </c>
      <c r="S29" s="157">
        <v>10</v>
      </c>
      <c r="T29" s="184"/>
      <c r="U29" s="185"/>
      <c r="V29" s="102"/>
      <c r="W29" s="116"/>
      <c r="X29" s="116"/>
    </row>
    <row r="30" spans="1:24" x14ac:dyDescent="0.25">
      <c r="A30" s="11" t="s">
        <v>18</v>
      </c>
      <c r="B30" s="35">
        <v>200140049</v>
      </c>
      <c r="C30" s="133">
        <v>2162723</v>
      </c>
      <c r="D30" s="133"/>
      <c r="E30" s="133"/>
      <c r="F30" s="133"/>
      <c r="G30" s="35" t="s">
        <v>170</v>
      </c>
      <c r="H30" s="35" t="s">
        <v>117</v>
      </c>
      <c r="I30" s="20">
        <f t="shared" si="0"/>
        <v>75.507845085067899</v>
      </c>
      <c r="J30" s="21">
        <f t="shared" si="1"/>
        <v>455.30400000000003</v>
      </c>
      <c r="K30" s="100">
        <f t="shared" si="2"/>
        <v>602.98899999999992</v>
      </c>
      <c r="L30" s="145">
        <f>+IFERROR(VLOOKUP(C30,'Nemlig Q3'!$A$2:$H$66,5,FALSE),0)</f>
        <v>13.31</v>
      </c>
      <c r="M30" s="145">
        <f>+IFERROR(VLOOKUP(C30,'Nemlig Q3'!$A$2:$H$66,8,FALSE),0)</f>
        <v>17.420000000000002</v>
      </c>
      <c r="N30" s="21">
        <f>+IFERROR(VLOOKUP(B30,'Hørkram Q3'!$B$6:$H$60,7,FALSE),"0")</f>
        <v>441.99400000000003</v>
      </c>
      <c r="O30" s="100">
        <f>+IFERROR(VLOOKUP(B30,'Hørkram Q3'!$B$6:$H$60,6,FALSE),"0")</f>
        <v>585.56899999999996</v>
      </c>
      <c r="P30" s="173"/>
      <c r="Q30" s="174"/>
      <c r="R30" s="156"/>
      <c r="S30" s="157"/>
      <c r="T30" s="184"/>
      <c r="U30" s="185"/>
      <c r="V30" s="102"/>
      <c r="W30" s="116"/>
      <c r="X30" s="116"/>
    </row>
    <row r="31" spans="1:24" x14ac:dyDescent="0.25">
      <c r="A31" s="11" t="s">
        <v>103</v>
      </c>
      <c r="B31" s="35">
        <v>200185279</v>
      </c>
      <c r="C31" s="133"/>
      <c r="D31" s="133"/>
      <c r="E31" s="133"/>
      <c r="F31" s="133"/>
      <c r="G31" s="35" t="s">
        <v>171</v>
      </c>
      <c r="H31" s="35" t="s">
        <v>119</v>
      </c>
      <c r="I31" s="20" t="str">
        <f>IFERROR(((J31*100)/K31)," ")</f>
        <v xml:space="preserve"> </v>
      </c>
      <c r="J31" s="21">
        <f t="shared" si="1"/>
        <v>0</v>
      </c>
      <c r="K31" s="100">
        <f t="shared" si="2"/>
        <v>0</v>
      </c>
      <c r="L31" s="145">
        <f>+IFERROR(VLOOKUP(C31,'Nemlig Q3'!$A$2:$H$66,5,FALSE),0)</f>
        <v>0</v>
      </c>
      <c r="M31" s="145">
        <f>+IFERROR(VLOOKUP(C31,'Nemlig Q3'!$A$2:$H$66,8,FALSE),0)</f>
        <v>0</v>
      </c>
      <c r="N31" s="21" t="str">
        <f>+IFERROR(VLOOKUP(B31,'Hørkram Q3'!$B$6:$H$60,7,FALSE),"0")</f>
        <v>0</v>
      </c>
      <c r="O31" s="100" t="str">
        <f>+IFERROR(VLOOKUP(B31,'Hørkram Q3'!$B$6:$H$60,6,FALSE),"0")</f>
        <v>0</v>
      </c>
      <c r="P31" s="173"/>
      <c r="Q31" s="174"/>
      <c r="R31" s="156"/>
      <c r="S31" s="100"/>
      <c r="T31" s="184"/>
      <c r="U31" s="185"/>
      <c r="V31" s="102"/>
      <c r="W31" s="116"/>
      <c r="X31" s="116"/>
    </row>
    <row r="32" spans="1:24" ht="15.5" x14ac:dyDescent="0.35">
      <c r="A32" s="11" t="s">
        <v>135</v>
      </c>
      <c r="B32" s="35">
        <v>200012841</v>
      </c>
      <c r="C32" s="133">
        <v>2248847</v>
      </c>
      <c r="D32" s="133"/>
      <c r="E32" s="133"/>
      <c r="F32" s="133"/>
      <c r="G32" s="35" t="s">
        <v>170</v>
      </c>
      <c r="H32" s="35" t="s">
        <v>117</v>
      </c>
      <c r="I32" s="20">
        <f t="shared" si="0"/>
        <v>81.336279554356437</v>
      </c>
      <c r="J32" s="21">
        <f t="shared" si="1"/>
        <v>1324.0309999999999</v>
      </c>
      <c r="K32" s="100">
        <f t="shared" si="2"/>
        <v>1627.848</v>
      </c>
      <c r="L32" s="145">
        <f>+IFERROR(VLOOKUP(C32,'Nemlig Q3'!$A$2:$H$66,5,FALSE),0)</f>
        <v>0</v>
      </c>
      <c r="M32" s="145">
        <f>+IFERROR(VLOOKUP(C32,'Nemlig Q3'!$A$2:$H$66,8,FALSE),0)</f>
        <v>0</v>
      </c>
      <c r="N32" s="21">
        <f>+IFERROR(VLOOKUP(B32,'Hørkram Q3'!$B$6:$H$60,7,FALSE),"0")</f>
        <v>1309.0309999999999</v>
      </c>
      <c r="O32" s="100">
        <f>+IFERROR(VLOOKUP(B32,'Hørkram Q3'!$B$6:$H$60,6,FALSE),"0")</f>
        <v>1612.47</v>
      </c>
      <c r="P32" s="171"/>
      <c r="Q32" s="172"/>
      <c r="R32" s="153">
        <v>15</v>
      </c>
      <c r="S32" s="161">
        <v>15.378</v>
      </c>
      <c r="T32" s="184"/>
      <c r="U32" s="185"/>
      <c r="V32" s="102"/>
      <c r="W32" s="116"/>
      <c r="X32" s="116"/>
    </row>
    <row r="33" spans="1:22" ht="15.5" x14ac:dyDescent="0.35">
      <c r="A33" s="11" t="s">
        <v>34</v>
      </c>
      <c r="B33" s="35">
        <v>200107653</v>
      </c>
      <c r="C33" s="133"/>
      <c r="D33" s="133"/>
      <c r="E33" s="133"/>
      <c r="F33" s="133"/>
      <c r="G33" s="35" t="s">
        <v>170</v>
      </c>
      <c r="H33" s="35" t="s">
        <v>117</v>
      </c>
      <c r="I33" s="20">
        <f t="shared" si="0"/>
        <v>87.4551588572875</v>
      </c>
      <c r="J33" s="21">
        <f t="shared" si="1"/>
        <v>663.35699999999997</v>
      </c>
      <c r="K33" s="100">
        <f t="shared" si="2"/>
        <v>758.51099999999997</v>
      </c>
      <c r="L33" s="145">
        <f>+IFERROR(VLOOKUP(C33,'Nemlig Q3'!$A$2:$H$66,5,FALSE),0)</f>
        <v>0</v>
      </c>
      <c r="M33" s="145">
        <f>+IFERROR(VLOOKUP(C33,'Nemlig Q3'!$A$2:$H$66,8,FALSE),0)</f>
        <v>0</v>
      </c>
      <c r="N33" s="21">
        <f>+IFERROR(VLOOKUP(B33,'Hørkram Q3'!$B$6:$H$60,7,FALSE),"0")</f>
        <v>663.35699999999997</v>
      </c>
      <c r="O33" s="100">
        <f>+IFERROR(VLOOKUP(B33,'Hørkram Q3'!$B$6:$H$60,6,FALSE),"0")</f>
        <v>758.51099999999997</v>
      </c>
      <c r="P33" s="171"/>
      <c r="Q33" s="172"/>
      <c r="R33" s="156"/>
      <c r="S33" s="159"/>
      <c r="T33" s="184"/>
      <c r="U33" s="185"/>
      <c r="V33" s="29"/>
    </row>
    <row r="34" spans="1:22" ht="15.5" x14ac:dyDescent="0.35">
      <c r="A34" s="11" t="s">
        <v>7</v>
      </c>
      <c r="B34" s="35">
        <v>200040189</v>
      </c>
      <c r="C34" s="133">
        <v>2164133</v>
      </c>
      <c r="D34" s="133"/>
      <c r="E34" s="133"/>
      <c r="F34" s="133"/>
      <c r="G34" s="35" t="s">
        <v>170</v>
      </c>
      <c r="H34" s="35" t="s">
        <v>117</v>
      </c>
      <c r="I34" s="20">
        <f t="shared" si="0"/>
        <v>90.859530545652362</v>
      </c>
      <c r="J34" s="21">
        <f t="shared" si="1"/>
        <v>1599.9799999999998</v>
      </c>
      <c r="K34" s="100">
        <f t="shared" si="2"/>
        <v>1760.9379999999999</v>
      </c>
      <c r="L34" s="145">
        <f>+IFERROR(VLOOKUP(C34,'Nemlig Q3'!$A$2:$H$66,5,FALSE),0)</f>
        <v>572.91</v>
      </c>
      <c r="M34" s="145">
        <f>+IFERROR(VLOOKUP(C34,'Nemlig Q3'!$A$2:$H$66,8,FALSE),0)</f>
        <v>633.46600000000001</v>
      </c>
      <c r="N34" s="21">
        <f>+IFERROR(VLOOKUP(B34,'Hørkram Q3'!$B$6:$H$60,7,FALSE),"0")</f>
        <v>1014.27</v>
      </c>
      <c r="O34" s="100">
        <f>+IFERROR(VLOOKUP(B34,'Hørkram Q3'!$B$6:$H$60,6,FALSE),"0")</f>
        <v>1114.3119999999999</v>
      </c>
      <c r="P34" s="171"/>
      <c r="Q34" s="172"/>
      <c r="R34" s="158">
        <v>12.8</v>
      </c>
      <c r="S34" s="155">
        <v>13.16</v>
      </c>
      <c r="T34" s="184"/>
      <c r="U34" s="185"/>
      <c r="V34" s="29"/>
    </row>
    <row r="35" spans="1:22" ht="15.5" x14ac:dyDescent="0.35">
      <c r="A35" s="11" t="s">
        <v>105</v>
      </c>
      <c r="B35" s="35"/>
      <c r="C35" s="133"/>
      <c r="D35" s="133"/>
      <c r="E35" s="133"/>
      <c r="F35" s="133"/>
      <c r="G35" s="35" t="s">
        <v>171</v>
      </c>
      <c r="H35" s="35" t="s">
        <v>119</v>
      </c>
      <c r="I35" s="20" t="str">
        <f>IFERROR(((J35*100)/K35)," ")</f>
        <v xml:space="preserve"> </v>
      </c>
      <c r="J35" s="21">
        <f t="shared" si="1"/>
        <v>0</v>
      </c>
      <c r="K35" s="100">
        <f t="shared" si="2"/>
        <v>0</v>
      </c>
      <c r="L35" s="145">
        <f>+IFERROR(VLOOKUP(C35,'Nemlig Q3'!$A$2:$H$66,5,FALSE),0)</f>
        <v>0</v>
      </c>
      <c r="M35" s="145">
        <f>+IFERROR(VLOOKUP(C35,'Nemlig Q3'!$A$2:$H$66,8,FALSE),0)</f>
        <v>0</v>
      </c>
      <c r="N35" s="21" t="str">
        <f>+IFERROR(VLOOKUP(B35,'Hørkram Q3'!$B$6:$H$60,7,FALSE),"0")</f>
        <v>0</v>
      </c>
      <c r="O35" s="100" t="str">
        <f>+IFERROR(VLOOKUP(B35,'Hørkram Q3'!$B$6:$H$60,6,FALSE),"0")</f>
        <v>0</v>
      </c>
      <c r="P35" s="171"/>
      <c r="Q35" s="172"/>
      <c r="R35" s="158"/>
      <c r="S35" s="155"/>
      <c r="T35" s="184"/>
      <c r="U35" s="185"/>
      <c r="V35" s="29"/>
    </row>
    <row r="36" spans="1:22" ht="15.5" x14ac:dyDescent="0.35">
      <c r="A36" s="11" t="s">
        <v>95</v>
      </c>
      <c r="B36" s="35"/>
      <c r="C36" s="133">
        <v>2200834</v>
      </c>
      <c r="D36" s="133"/>
      <c r="E36" s="133"/>
      <c r="F36" s="133"/>
      <c r="G36" s="35" t="s">
        <v>171</v>
      </c>
      <c r="H36" s="35" t="s">
        <v>118</v>
      </c>
      <c r="I36" s="20" t="str">
        <f>IFERROR(((J36*100)/K36)," ")</f>
        <v xml:space="preserve"> </v>
      </c>
      <c r="J36" s="21">
        <f t="shared" ref="J36:J66" si="13">+L36+N36+P36+R36+T36</f>
        <v>0</v>
      </c>
      <c r="K36" s="100">
        <f t="shared" ref="K36:K66" si="14">+M36+O36+Q36+S36+U36</f>
        <v>0</v>
      </c>
      <c r="L36" s="145">
        <f>+IFERROR(VLOOKUP(C36,'Nemlig Q3'!$A$2:$H$66,5,FALSE),0)</f>
        <v>0</v>
      </c>
      <c r="M36" s="145">
        <f>+IFERROR(VLOOKUP(C36,'Nemlig Q3'!$A$2:$H$66,8,FALSE),0)</f>
        <v>0</v>
      </c>
      <c r="N36" s="21" t="str">
        <f>+IFERROR(VLOOKUP(B36,'Hørkram Q3'!$B$6:$H$60,7,FALSE),"0")</f>
        <v>0</v>
      </c>
      <c r="O36" s="100" t="str">
        <f>+IFERROR(VLOOKUP(B36,'Hørkram Q3'!$B$6:$H$60,6,FALSE),"0")</f>
        <v>0</v>
      </c>
      <c r="P36" s="173"/>
      <c r="Q36" s="174"/>
      <c r="R36" s="153"/>
      <c r="S36" s="154"/>
      <c r="T36" s="184"/>
      <c r="U36" s="185"/>
      <c r="V36" s="29"/>
    </row>
    <row r="37" spans="1:22" x14ac:dyDescent="0.35">
      <c r="A37" s="11" t="s">
        <v>19</v>
      </c>
      <c r="B37" s="35"/>
      <c r="C37" s="133"/>
      <c r="D37" s="133"/>
      <c r="E37" s="133"/>
      <c r="F37" s="133"/>
      <c r="G37" s="35" t="s">
        <v>171</v>
      </c>
      <c r="H37" s="35" t="s">
        <v>119</v>
      </c>
      <c r="I37" s="20" t="str">
        <f t="shared" ref="I37:I38" si="15">IFERROR(((J37*100)/K37)," ")</f>
        <v xml:space="preserve"> </v>
      </c>
      <c r="J37" s="21">
        <f t="shared" si="13"/>
        <v>0</v>
      </c>
      <c r="K37" s="100">
        <f t="shared" si="14"/>
        <v>0</v>
      </c>
      <c r="L37" s="145">
        <f>+IFERROR(VLOOKUP(C37,'Nemlig Q3'!$A$2:$H$66,5,FALSE),0)</f>
        <v>0</v>
      </c>
      <c r="M37" s="145">
        <f>+IFERROR(VLOOKUP(C37,'Nemlig Q3'!$A$2:$H$66,8,FALSE),0)</f>
        <v>0</v>
      </c>
      <c r="N37" s="21" t="str">
        <f>+IFERROR(VLOOKUP(B37,'Hørkram Q3'!$B$6:$H$60,7,FALSE),"0")</f>
        <v>0</v>
      </c>
      <c r="O37" s="100" t="str">
        <f>+IFERROR(VLOOKUP(B37,'Hørkram Q3'!$B$6:$H$60,6,FALSE),"0")</f>
        <v>0</v>
      </c>
      <c r="P37" s="173"/>
      <c r="Q37" s="174"/>
      <c r="R37" s="156"/>
      <c r="S37" s="159"/>
      <c r="T37" s="184"/>
      <c r="U37" s="185"/>
      <c r="V37" s="29"/>
    </row>
    <row r="38" spans="1:22" ht="15.5" x14ac:dyDescent="0.35">
      <c r="A38" s="11" t="s">
        <v>90</v>
      </c>
      <c r="B38" s="35"/>
      <c r="C38" s="133">
        <v>2308205</v>
      </c>
      <c r="D38" s="133"/>
      <c r="E38" s="133"/>
      <c r="F38" s="133"/>
      <c r="G38" s="35" t="s">
        <v>171</v>
      </c>
      <c r="H38" s="35" t="s">
        <v>119</v>
      </c>
      <c r="I38" s="20">
        <f t="shared" si="15"/>
        <v>81.818181818181813</v>
      </c>
      <c r="J38" s="21">
        <f t="shared" si="13"/>
        <v>9</v>
      </c>
      <c r="K38" s="100">
        <f t="shared" si="14"/>
        <v>11</v>
      </c>
      <c r="L38" s="145">
        <f>+IFERROR(VLOOKUP(C38,'Nemlig Q3'!$A$2:$H$66,5,FALSE),0)</f>
        <v>0</v>
      </c>
      <c r="M38" s="145">
        <f>+IFERROR(VLOOKUP(C38,'Nemlig Q3'!$A$2:$H$66,8,FALSE),0)</f>
        <v>0</v>
      </c>
      <c r="N38" s="21" t="str">
        <f>+IFERROR(VLOOKUP(B38,'Hørkram Q3'!$B$6:$H$60,7,FALSE),"0")</f>
        <v>0</v>
      </c>
      <c r="O38" s="100" t="str">
        <f>+IFERROR(VLOOKUP(B38,'Hørkram Q3'!$B$6:$H$60,6,FALSE),"0")</f>
        <v>0</v>
      </c>
      <c r="P38" s="173"/>
      <c r="Q38" s="174"/>
      <c r="R38" s="158">
        <v>9</v>
      </c>
      <c r="S38" s="160">
        <v>11</v>
      </c>
      <c r="T38" s="184"/>
      <c r="U38" s="185"/>
      <c r="V38" s="29"/>
    </row>
    <row r="39" spans="1:22" x14ac:dyDescent="0.35">
      <c r="A39" s="11" t="s">
        <v>56</v>
      </c>
      <c r="B39" s="35"/>
      <c r="C39" s="133"/>
      <c r="D39" s="133"/>
      <c r="E39" s="133"/>
      <c r="F39" s="133"/>
      <c r="G39" s="35" t="s">
        <v>171</v>
      </c>
      <c r="H39" s="35" t="s">
        <v>119</v>
      </c>
      <c r="I39" s="20" t="str">
        <f>IFERROR(((J39*100)/K39)," ")</f>
        <v xml:space="preserve"> </v>
      </c>
      <c r="J39" s="21">
        <f t="shared" si="13"/>
        <v>0</v>
      </c>
      <c r="K39" s="100">
        <f t="shared" si="14"/>
        <v>0</v>
      </c>
      <c r="L39" s="145">
        <f>+IFERROR(VLOOKUP(C39,'Nemlig Q3'!$A$2:$H$66,5,FALSE),0)</f>
        <v>0</v>
      </c>
      <c r="M39" s="145">
        <f>+IFERROR(VLOOKUP(C39,'Nemlig Q3'!$A$2:$H$66,8,FALSE),0)</f>
        <v>0</v>
      </c>
      <c r="N39" s="21" t="str">
        <f>+IFERROR(VLOOKUP(B39,'Hørkram Q3'!$B$6:$H$60,7,FALSE),"0")</f>
        <v>0</v>
      </c>
      <c r="O39" s="100" t="str">
        <f>+IFERROR(VLOOKUP(B39,'Hørkram Q3'!$B$6:$H$60,6,FALSE),"0")</f>
        <v>0</v>
      </c>
      <c r="P39" s="173"/>
      <c r="Q39" s="174"/>
      <c r="R39" s="156"/>
      <c r="S39" s="157"/>
      <c r="T39" s="184"/>
      <c r="U39" s="185"/>
      <c r="V39" s="29"/>
    </row>
    <row r="40" spans="1:22" x14ac:dyDescent="0.35">
      <c r="A40" s="11" t="s">
        <v>65</v>
      </c>
      <c r="B40" s="35"/>
      <c r="C40" s="133">
        <v>2347486</v>
      </c>
      <c r="D40" s="133"/>
      <c r="E40" s="133"/>
      <c r="F40" s="133"/>
      <c r="G40" s="35" t="s">
        <v>171</v>
      </c>
      <c r="H40" s="35" t="s">
        <v>119</v>
      </c>
      <c r="I40" s="20" t="str">
        <f>IFERROR(((J40*100)/K40)," ")</f>
        <v xml:space="preserve"> </v>
      </c>
      <c r="J40" s="21">
        <f t="shared" si="13"/>
        <v>0</v>
      </c>
      <c r="K40" s="100">
        <f t="shared" si="14"/>
        <v>0</v>
      </c>
      <c r="L40" s="145">
        <f>+IFERROR(VLOOKUP(C40,'Nemlig Q3'!$A$2:$H$66,5,FALSE),0)</f>
        <v>0</v>
      </c>
      <c r="M40" s="145">
        <f>+IFERROR(VLOOKUP(C40,'Nemlig Q3'!$A$2:$H$66,8,FALSE),0)</f>
        <v>0</v>
      </c>
      <c r="N40" s="21" t="str">
        <f>+IFERROR(VLOOKUP(B40,'Hørkram Q3'!$B$6:$H$60,7,FALSE),"0")</f>
        <v>0</v>
      </c>
      <c r="O40" s="100" t="str">
        <f>+IFERROR(VLOOKUP(B40,'Hørkram Q3'!$B$6:$H$60,6,FALSE),"0")</f>
        <v>0</v>
      </c>
      <c r="P40" s="173"/>
      <c r="Q40" s="174"/>
      <c r="R40" s="156"/>
      <c r="S40" s="157"/>
      <c r="T40" s="184"/>
      <c r="U40" s="185"/>
      <c r="V40" s="29"/>
    </row>
    <row r="41" spans="1:22" x14ac:dyDescent="0.35">
      <c r="A41" s="11" t="s">
        <v>54</v>
      </c>
      <c r="B41" s="35"/>
      <c r="C41" s="133">
        <v>1066946</v>
      </c>
      <c r="D41" s="133"/>
      <c r="E41" s="133"/>
      <c r="F41" s="133"/>
      <c r="G41" s="35" t="s">
        <v>170</v>
      </c>
      <c r="H41" s="35" t="s">
        <v>119</v>
      </c>
      <c r="I41" s="20">
        <f t="shared" ref="I41:I66" si="16">(J41*100)/K41</f>
        <v>77.900572578461833</v>
      </c>
      <c r="J41" s="21">
        <f t="shared" si="13"/>
        <v>192.786</v>
      </c>
      <c r="K41" s="100">
        <f t="shared" si="14"/>
        <v>247.477</v>
      </c>
      <c r="L41" s="145">
        <f>+IFERROR(VLOOKUP(C41,'Nemlig Q3'!$A$2:$H$66,5,FALSE),0)</f>
        <v>170.68600000000001</v>
      </c>
      <c r="M41" s="145">
        <f>+IFERROR(VLOOKUP(C41,'Nemlig Q3'!$A$2:$H$66,8,FALSE),0)</f>
        <v>225.37700000000001</v>
      </c>
      <c r="N41" s="21" t="str">
        <f>+IFERROR(VLOOKUP(B41,'Hørkram Q3'!$B$6:$H$60,7,FALSE),"0")</f>
        <v>0</v>
      </c>
      <c r="O41" s="100" t="str">
        <f>+IFERROR(VLOOKUP(B41,'Hørkram Q3'!$B$6:$H$60,6,FALSE),"0")</f>
        <v>0</v>
      </c>
      <c r="P41" s="173"/>
      <c r="Q41" s="174"/>
      <c r="R41" s="156">
        <v>22.1</v>
      </c>
      <c r="S41" s="157">
        <v>22.1</v>
      </c>
      <c r="T41" s="184"/>
      <c r="U41" s="185"/>
      <c r="V41" s="29"/>
    </row>
    <row r="42" spans="1:22" ht="15.5" x14ac:dyDescent="0.35">
      <c r="A42" s="13" t="s">
        <v>75</v>
      </c>
      <c r="B42" s="36"/>
      <c r="C42" s="134">
        <v>2164274</v>
      </c>
      <c r="D42" s="134"/>
      <c r="E42" s="134"/>
      <c r="F42" s="134"/>
      <c r="G42" s="36" t="s">
        <v>171</v>
      </c>
      <c r="H42" s="35" t="s">
        <v>118</v>
      </c>
      <c r="I42" s="20">
        <f t="shared" si="16"/>
        <v>51.600405767072431</v>
      </c>
      <c r="J42" s="21">
        <f t="shared" si="13"/>
        <v>47.814999999999998</v>
      </c>
      <c r="K42" s="100">
        <f t="shared" si="14"/>
        <v>92.664000000000001</v>
      </c>
      <c r="L42" s="145">
        <f>+IFERROR(VLOOKUP(C42,'Nemlig Q3'!$A$2:$H$66,5,FALSE),0)</f>
        <v>47.814999999999998</v>
      </c>
      <c r="M42" s="145">
        <f>+IFERROR(VLOOKUP(C42,'Nemlig Q3'!$A$2:$H$66,8,FALSE),0)</f>
        <v>92.664000000000001</v>
      </c>
      <c r="N42" s="21" t="str">
        <f>+IFERROR(VLOOKUP(B42,'Hørkram Q3'!$B$6:$H$60,7,FALSE),"0")</f>
        <v>0</v>
      </c>
      <c r="O42" s="100" t="str">
        <f>+IFERROR(VLOOKUP(B42,'Hørkram Q3'!$B$6:$H$60,6,FALSE),"0")</f>
        <v>0</v>
      </c>
      <c r="P42" s="171"/>
      <c r="Q42" s="172"/>
      <c r="R42" s="156"/>
      <c r="S42" s="157"/>
      <c r="T42" s="186"/>
      <c r="U42" s="187"/>
      <c r="V42" s="29"/>
    </row>
    <row r="43" spans="1:22" ht="15.5" x14ac:dyDescent="0.35">
      <c r="A43" s="11" t="s">
        <v>76</v>
      </c>
      <c r="B43" s="35"/>
      <c r="C43" s="133">
        <v>1091281</v>
      </c>
      <c r="D43" s="133"/>
      <c r="E43" s="133"/>
      <c r="F43" s="133"/>
      <c r="G43" s="35" t="s">
        <v>171</v>
      </c>
      <c r="H43" s="35" t="s">
        <v>118</v>
      </c>
      <c r="I43" s="20">
        <f t="shared" si="16"/>
        <v>12.705368044308555</v>
      </c>
      <c r="J43" s="21">
        <f t="shared" si="13"/>
        <v>136.423</v>
      </c>
      <c r="K43" s="100">
        <f t="shared" si="14"/>
        <v>1073.7429999999999</v>
      </c>
      <c r="L43" s="145">
        <f>+IFERROR(VLOOKUP(C43,'Nemlig Q3'!$A$2:$H$64,5,FALSE),0)+'Nemlig Q3'!E64+'Nemlig Q3'!E63</f>
        <v>136.423</v>
      </c>
      <c r="M43" s="145">
        <f>+IFERROR(VLOOKUP(C43,'Nemlig Q3'!$A$2:$H$64,8,FALSE),0)+'Nemlig Q3'!H64+'Nemlig Q3'!H63</f>
        <v>1073.7429999999999</v>
      </c>
      <c r="N43" s="21" t="str">
        <f>+IFERROR(VLOOKUP(B43,'Hørkram Q3'!$B$6:$H$60,7,FALSE),"0")</f>
        <v>0</v>
      </c>
      <c r="O43" s="100" t="str">
        <f>+IFERROR(VLOOKUP(B43,'Hørkram Q3'!$B$6:$H$60,6,FALSE),"0")</f>
        <v>0</v>
      </c>
      <c r="P43" s="175"/>
      <c r="Q43" s="172"/>
      <c r="R43" s="156"/>
      <c r="S43" s="157"/>
      <c r="T43" s="184"/>
      <c r="U43" s="185"/>
      <c r="V43" s="29"/>
    </row>
    <row r="44" spans="1:22" ht="15.5" x14ac:dyDescent="0.35">
      <c r="A44" s="11" t="s">
        <v>50</v>
      </c>
      <c r="B44" s="35">
        <v>200225982</v>
      </c>
      <c r="C44" s="133"/>
      <c r="D44" s="133"/>
      <c r="E44" s="133"/>
      <c r="F44" s="133"/>
      <c r="G44" s="35" t="s">
        <v>171</v>
      </c>
      <c r="H44" s="35" t="s">
        <v>124</v>
      </c>
      <c r="I44" s="20">
        <f t="shared" si="16"/>
        <v>100</v>
      </c>
      <c r="J44" s="21">
        <f t="shared" si="13"/>
        <v>138</v>
      </c>
      <c r="K44" s="100">
        <f t="shared" si="14"/>
        <v>138</v>
      </c>
      <c r="L44" s="145">
        <f>+IFERROR(VLOOKUP(C44,'Nemlig Q3'!$A$2:$H$66,5,FALSE),0)</f>
        <v>0</v>
      </c>
      <c r="M44" s="145">
        <f>+IFERROR(VLOOKUP(C44,'Nemlig Q3'!$A$2:$H$66,8,FALSE),0)</f>
        <v>0</v>
      </c>
      <c r="N44" s="21">
        <f>+IFERROR(VLOOKUP(B44,'Hørkram Q3'!$B$6:$H$60,7,FALSE),"0")</f>
        <v>138</v>
      </c>
      <c r="O44" s="100">
        <f>+IFERROR(VLOOKUP(B44,'Hørkram Q3'!$B$6:$H$60,6,FALSE),"0")</f>
        <v>138</v>
      </c>
      <c r="P44" s="171"/>
      <c r="Q44" s="172"/>
      <c r="R44" s="158"/>
      <c r="S44" s="162"/>
      <c r="T44" s="184"/>
      <c r="U44" s="185"/>
      <c r="V44" s="29"/>
    </row>
    <row r="45" spans="1:22" x14ac:dyDescent="0.35">
      <c r="A45" s="11" t="s">
        <v>58</v>
      </c>
      <c r="B45" s="35"/>
      <c r="C45" s="133"/>
      <c r="D45" s="133"/>
      <c r="E45" s="133"/>
      <c r="F45" s="133"/>
      <c r="G45" s="35" t="s">
        <v>171</v>
      </c>
      <c r="H45" s="35" t="s">
        <v>117</v>
      </c>
      <c r="I45" s="20" t="str">
        <f>IFERROR(((J45*100)/K45)," ")</f>
        <v xml:space="preserve"> </v>
      </c>
      <c r="J45" s="21">
        <f t="shared" si="13"/>
        <v>0</v>
      </c>
      <c r="K45" s="100">
        <f t="shared" si="14"/>
        <v>0</v>
      </c>
      <c r="L45" s="145">
        <f>+IFERROR(VLOOKUP(C45,'Nemlig Q3'!$A$2:$H$66,5,FALSE),0)</f>
        <v>0</v>
      </c>
      <c r="M45" s="145">
        <f>+IFERROR(VLOOKUP(C45,'Nemlig Q3'!$A$2:$H$66,8,FALSE),0)</f>
        <v>0</v>
      </c>
      <c r="N45" s="21" t="str">
        <f>+IFERROR(VLOOKUP(B45,'Hørkram Q3'!$B$6:$H$60,7,FALSE),"0")</f>
        <v>0</v>
      </c>
      <c r="O45" s="100" t="str">
        <f>+IFERROR(VLOOKUP(B45,'Hørkram Q3'!$B$6:$H$60,6,FALSE),"0")</f>
        <v>0</v>
      </c>
      <c r="P45" s="176"/>
      <c r="Q45" s="177"/>
      <c r="R45" s="156"/>
      <c r="S45" s="159"/>
      <c r="T45" s="184"/>
      <c r="U45" s="185"/>
      <c r="V45" s="29"/>
    </row>
    <row r="46" spans="1:22" ht="17.5" customHeight="1" x14ac:dyDescent="0.35">
      <c r="A46" s="11" t="s">
        <v>15</v>
      </c>
      <c r="B46" s="35">
        <v>200512464</v>
      </c>
      <c r="C46" s="133"/>
      <c r="D46" s="133"/>
      <c r="E46" s="133"/>
      <c r="F46" s="133"/>
      <c r="G46" s="35" t="s">
        <v>170</v>
      </c>
      <c r="H46" s="35" t="s">
        <v>117</v>
      </c>
      <c r="I46" s="20">
        <f t="shared" si="16"/>
        <v>98.732599381635239</v>
      </c>
      <c r="J46" s="21">
        <f t="shared" si="13"/>
        <v>1558.0329999999999</v>
      </c>
      <c r="K46" s="100">
        <f t="shared" si="14"/>
        <v>1578.0329999999999</v>
      </c>
      <c r="L46" s="145">
        <f>+IFERROR(VLOOKUP(C46,'Nemlig Q3'!$A$2:$H$66,5,FALSE),0)</f>
        <v>0</v>
      </c>
      <c r="M46" s="145">
        <f>+IFERROR(VLOOKUP(C46,'Nemlig Q3'!$A$2:$H$66,8,FALSE),0)</f>
        <v>0</v>
      </c>
      <c r="N46" s="21">
        <f>+IFERROR(VLOOKUP(B46,'Hørkram Q3'!$B$6:$H$60,7,FALSE),"0")</f>
        <v>1558.0329999999999</v>
      </c>
      <c r="O46" s="100">
        <f>+IFERROR(VLOOKUP(B46,'Hørkram Q3'!$B$6:$H$60,6,FALSE),"0")</f>
        <v>1578.0329999999999</v>
      </c>
      <c r="P46" s="175"/>
      <c r="Q46" s="178"/>
      <c r="R46" s="158"/>
      <c r="S46" s="160"/>
      <c r="T46" s="184"/>
      <c r="U46" s="185"/>
      <c r="V46" s="30"/>
    </row>
    <row r="47" spans="1:22" ht="15.5" x14ac:dyDescent="0.35">
      <c r="A47" s="11" t="s">
        <v>57</v>
      </c>
      <c r="B47" s="35"/>
      <c r="C47" s="133">
        <v>2407997</v>
      </c>
      <c r="D47" s="133"/>
      <c r="E47" s="133"/>
      <c r="F47" s="133"/>
      <c r="G47" s="35" t="s">
        <v>171</v>
      </c>
      <c r="H47" s="35" t="s">
        <v>124</v>
      </c>
      <c r="I47" s="20">
        <f>IFERROR(((J47*100)/K47)," ")</f>
        <v>27.956920926390701</v>
      </c>
      <c r="J47" s="21">
        <f t="shared" si="13"/>
        <v>8.8000000000000007</v>
      </c>
      <c r="K47" s="100">
        <f t="shared" si="14"/>
        <v>31.477</v>
      </c>
      <c r="L47" s="145">
        <f>+IFERROR(VLOOKUP(C47,'Nemlig Q3'!$A$2:$H$66,5,FALSE),0)</f>
        <v>0.8</v>
      </c>
      <c r="M47" s="145">
        <f>+IFERROR(VLOOKUP(C47,'Nemlig Q3'!$A$2:$H$66,8,FALSE),0)</f>
        <v>23.477</v>
      </c>
      <c r="N47" s="21" t="str">
        <f>+IFERROR(VLOOKUP(B47,'Hørkram Q3'!$B$6:$H$60,7,FALSE),"0")</f>
        <v>0</v>
      </c>
      <c r="O47" s="100" t="str">
        <f>+IFERROR(VLOOKUP(B47,'Hørkram Q3'!$B$6:$H$60,6,FALSE),"0")</f>
        <v>0</v>
      </c>
      <c r="P47" s="171"/>
      <c r="Q47" s="172"/>
      <c r="R47" s="156">
        <v>8</v>
      </c>
      <c r="S47" s="157">
        <v>8</v>
      </c>
      <c r="T47" s="184"/>
      <c r="U47" s="185"/>
      <c r="V47" s="29"/>
    </row>
    <row r="48" spans="1:22" ht="15.5" x14ac:dyDescent="0.35">
      <c r="A48" s="11" t="s">
        <v>110</v>
      </c>
      <c r="B48" s="35" t="s">
        <v>213</v>
      </c>
      <c r="C48" s="133">
        <v>1128479</v>
      </c>
      <c r="D48" s="133"/>
      <c r="E48" s="133"/>
      <c r="F48" s="133"/>
      <c r="G48" s="35" t="s">
        <v>170</v>
      </c>
      <c r="H48" s="35" t="s">
        <v>118</v>
      </c>
      <c r="I48" s="20">
        <f t="shared" si="16"/>
        <v>39.764105309912196</v>
      </c>
      <c r="J48" s="21">
        <f t="shared" si="13"/>
        <v>1045.6559999999999</v>
      </c>
      <c r="K48" s="100">
        <f t="shared" si="14"/>
        <v>2629.6480000000001</v>
      </c>
      <c r="L48" s="145">
        <f>+IFERROR(VLOOKUP(C48,'Nemlig Q3'!$A$2:$H$66,5,FALSE),0)</f>
        <v>197.352</v>
      </c>
      <c r="M48" s="145">
        <f>+IFERROR(VLOOKUP(C48,'Nemlig Q3'!$A$2:$H$66,8,FALSE),0)</f>
        <v>975.55</v>
      </c>
      <c r="N48" s="21">
        <f>+'Hørkram Q3'!H23+'Hørkram Q3'!H31</f>
        <v>848.30399999999997</v>
      </c>
      <c r="O48" s="100">
        <f>+'Hørkram Q3'!G23+'Hørkram Q3'!G31</f>
        <v>1654.098</v>
      </c>
      <c r="P48" s="171"/>
      <c r="Q48" s="172"/>
      <c r="R48" s="158"/>
      <c r="S48" s="155"/>
      <c r="T48" s="188"/>
      <c r="U48" s="189"/>
      <c r="V48" s="29"/>
    </row>
    <row r="49" spans="1:24" ht="15.5" x14ac:dyDescent="0.35">
      <c r="A49" s="11" t="s">
        <v>178</v>
      </c>
      <c r="B49" s="35"/>
      <c r="C49" s="133"/>
      <c r="D49" s="133"/>
      <c r="E49" s="133"/>
      <c r="F49" s="133"/>
      <c r="G49" s="35" t="s">
        <v>171</v>
      </c>
      <c r="H49" s="35" t="s">
        <v>118</v>
      </c>
      <c r="I49" s="20">
        <f t="shared" si="16"/>
        <v>0</v>
      </c>
      <c r="J49" s="21">
        <f t="shared" si="13"/>
        <v>0</v>
      </c>
      <c r="K49" s="100">
        <f t="shared" si="14"/>
        <v>20</v>
      </c>
      <c r="L49" s="145">
        <f>+IFERROR(VLOOKUP(C49,'Nemlig Q3'!$A$2:$H$66,5,FALSE),0)</f>
        <v>0</v>
      </c>
      <c r="M49" s="145">
        <f>+IFERROR(VLOOKUP(C49,'Nemlig Q3'!$A$2:$H$66,8,FALSE),0)</f>
        <v>0</v>
      </c>
      <c r="N49" s="21" t="str">
        <f>+IFERROR(VLOOKUP(B49,'Hørkram Q3'!$B$6:$H$60,7,FALSE),"0")</f>
        <v>0</v>
      </c>
      <c r="O49" s="100" t="str">
        <f>+IFERROR(VLOOKUP(B49,'Hørkram Q3'!$B$6:$H$60,6,FALSE),"0")</f>
        <v>0</v>
      </c>
      <c r="P49" s="173"/>
      <c r="Q49" s="174"/>
      <c r="R49" s="158"/>
      <c r="S49" s="155">
        <v>20</v>
      </c>
      <c r="T49" s="184"/>
      <c r="U49" s="185"/>
      <c r="V49" s="29"/>
    </row>
    <row r="50" spans="1:24" ht="15.5" x14ac:dyDescent="0.35">
      <c r="A50" s="11" t="s">
        <v>82</v>
      </c>
      <c r="B50" s="35"/>
      <c r="C50" s="133"/>
      <c r="D50" s="133"/>
      <c r="E50" s="133"/>
      <c r="F50" s="133"/>
      <c r="G50" s="35" t="s">
        <v>171</v>
      </c>
      <c r="H50" s="35" t="s">
        <v>118</v>
      </c>
      <c r="I50" s="20" t="str">
        <f>IFERROR(((J50*100)/K50)," ")</f>
        <v xml:space="preserve"> </v>
      </c>
      <c r="J50" s="21">
        <f t="shared" si="13"/>
        <v>0</v>
      </c>
      <c r="K50" s="100">
        <f t="shared" si="14"/>
        <v>0</v>
      </c>
      <c r="L50" s="145">
        <f>+IFERROR(VLOOKUP(C50,'Nemlig Q3'!$A$2:$H$66,5,FALSE),0)</f>
        <v>0</v>
      </c>
      <c r="M50" s="145">
        <f>+IFERROR(VLOOKUP(C50,'Nemlig Q3'!$A$2:$H$66,8,FALSE),0)</f>
        <v>0</v>
      </c>
      <c r="N50" s="21" t="str">
        <f>+IFERROR(VLOOKUP(B50,'Hørkram Q3'!$B$6:$H$60,7,FALSE),"0")</f>
        <v>0</v>
      </c>
      <c r="O50" s="100" t="str">
        <f>+IFERROR(VLOOKUP(B50,'Hørkram Q3'!$B$6:$H$60,6,FALSE),"0")</f>
        <v>0</v>
      </c>
      <c r="P50" s="171"/>
      <c r="Q50" s="172"/>
      <c r="R50" s="158"/>
      <c r="S50" s="155"/>
      <c r="T50" s="184"/>
      <c r="U50" s="185"/>
      <c r="V50" s="29"/>
    </row>
    <row r="51" spans="1:24" ht="15.5" x14ac:dyDescent="0.35">
      <c r="A51" s="11" t="s">
        <v>25</v>
      </c>
      <c r="B51" s="35"/>
      <c r="C51" s="133"/>
      <c r="D51" s="133"/>
      <c r="E51" s="133"/>
      <c r="F51" s="133"/>
      <c r="G51" s="35" t="s">
        <v>171</v>
      </c>
      <c r="H51" s="35" t="s">
        <v>124</v>
      </c>
      <c r="I51" s="20">
        <f t="shared" si="16"/>
        <v>0</v>
      </c>
      <c r="J51" s="21">
        <f t="shared" si="13"/>
        <v>0</v>
      </c>
      <c r="K51" s="100">
        <f t="shared" si="14"/>
        <v>62.72</v>
      </c>
      <c r="L51" s="145">
        <f>+IFERROR(VLOOKUP(C51,'Nemlig Q3'!$A$2:$H$66,5,FALSE),0)</f>
        <v>0</v>
      </c>
      <c r="M51" s="145">
        <f>+IFERROR(VLOOKUP(C51,'Nemlig Q3'!$A$2:$H$66,8,FALSE),0)</f>
        <v>0</v>
      </c>
      <c r="N51" s="21" t="str">
        <f>+IFERROR(VLOOKUP(B51,'Hørkram Q3'!$B$6:$H$60,7,FALSE),"0")</f>
        <v>0</v>
      </c>
      <c r="O51" s="100" t="str">
        <f>+IFERROR(VLOOKUP(B51,'Hørkram Q3'!$B$6:$H$60,6,FALSE),"0")</f>
        <v>0</v>
      </c>
      <c r="P51" s="173"/>
      <c r="Q51" s="174"/>
      <c r="R51" s="158"/>
      <c r="S51" s="155">
        <v>62.72</v>
      </c>
      <c r="T51" s="184"/>
      <c r="U51" s="185"/>
      <c r="V51" s="29"/>
    </row>
    <row r="52" spans="1:24" ht="15.5" x14ac:dyDescent="0.35">
      <c r="A52" s="11" t="s">
        <v>74</v>
      </c>
      <c r="B52" s="35"/>
      <c r="C52" s="133">
        <v>1111606</v>
      </c>
      <c r="D52" s="133">
        <v>1145780</v>
      </c>
      <c r="E52" s="133"/>
      <c r="F52" s="133"/>
      <c r="G52" s="35" t="s">
        <v>171</v>
      </c>
      <c r="H52" s="35" t="s">
        <v>121</v>
      </c>
      <c r="I52" s="20">
        <f t="shared" si="16"/>
        <v>20.933728901896323</v>
      </c>
      <c r="J52" s="21">
        <f t="shared" si="13"/>
        <v>93.987000000000009</v>
      </c>
      <c r="K52" s="100">
        <f t="shared" si="14"/>
        <v>448.97400000000005</v>
      </c>
      <c r="L52" s="145">
        <f>+IFERROR(VLOOKUP(C52,'Nemlig Q3'!$A$2:$H$66,5,FALSE),0)+'Nemlig Q3'!E14</f>
        <v>93.987000000000009</v>
      </c>
      <c r="M52" s="145">
        <f>+IFERROR(VLOOKUP(C52,'Nemlig Q3'!$A$2:$H$66,8,FALSE),0)+'Nemlig Q3'!H14</f>
        <v>448.97400000000005</v>
      </c>
      <c r="N52" s="21" t="str">
        <f>+IFERROR(VLOOKUP(B52,'Hørkram Q3'!$B$6:$H$60,7,FALSE),"0")</f>
        <v>0</v>
      </c>
      <c r="O52" s="100" t="str">
        <f>+IFERROR(VLOOKUP(B52,'Hørkram Q3'!$B$6:$H$60,6,FALSE),"0")</f>
        <v>0</v>
      </c>
      <c r="P52" s="175"/>
      <c r="Q52" s="172"/>
      <c r="R52" s="156"/>
      <c r="S52" s="159"/>
      <c r="T52" s="184"/>
      <c r="U52" s="185"/>
      <c r="V52" s="29"/>
      <c r="W52" s="5"/>
      <c r="X52" s="5"/>
    </row>
    <row r="53" spans="1:24" ht="15.5" x14ac:dyDescent="0.35">
      <c r="A53" s="11" t="s">
        <v>104</v>
      </c>
      <c r="B53" s="35"/>
      <c r="C53" s="133"/>
      <c r="D53" s="133"/>
      <c r="E53" s="133"/>
      <c r="F53" s="133"/>
      <c r="G53" s="35" t="s">
        <v>171</v>
      </c>
      <c r="H53" s="35" t="s">
        <v>119</v>
      </c>
      <c r="I53" s="20" t="str">
        <f>IFERROR(((J53*100)/K53)," ")</f>
        <v xml:space="preserve"> </v>
      </c>
      <c r="J53" s="21">
        <f t="shared" si="13"/>
        <v>0</v>
      </c>
      <c r="K53" s="100">
        <f t="shared" si="14"/>
        <v>0</v>
      </c>
      <c r="L53" s="145">
        <f>+IFERROR(VLOOKUP(C53,'Nemlig Q3'!$A$2:$H$66,5,FALSE),0)</f>
        <v>0</v>
      </c>
      <c r="M53" s="145">
        <f>+IFERROR(VLOOKUP(C53,'Nemlig Q3'!$A$2:$H$66,8,FALSE),0)</f>
        <v>0</v>
      </c>
      <c r="N53" s="21" t="str">
        <f>+IFERROR(VLOOKUP(B53,'Hørkram Q3'!$B$6:$H$60,7,FALSE),"0")</f>
        <v>0</v>
      </c>
      <c r="O53" s="100" t="str">
        <f>+IFERROR(VLOOKUP(B53,'Hørkram Q3'!$B$6:$H$60,6,FALSE),"0")</f>
        <v>0</v>
      </c>
      <c r="P53" s="171"/>
      <c r="Q53" s="172"/>
      <c r="R53" s="158"/>
      <c r="S53" s="155"/>
      <c r="T53" s="184"/>
      <c r="U53" s="185"/>
      <c r="V53" s="31"/>
    </row>
    <row r="54" spans="1:24" ht="15.5" x14ac:dyDescent="0.35">
      <c r="A54" s="11" t="s">
        <v>52</v>
      </c>
      <c r="B54" s="35"/>
      <c r="C54" s="133">
        <v>2296749</v>
      </c>
      <c r="D54" s="133">
        <v>2296585</v>
      </c>
      <c r="E54" s="133"/>
      <c r="F54" s="133"/>
      <c r="G54" s="35" t="s">
        <v>171</v>
      </c>
      <c r="H54" s="35" t="s">
        <v>124</v>
      </c>
      <c r="I54" s="20">
        <f t="shared" si="16"/>
        <v>14.714125560538116</v>
      </c>
      <c r="J54" s="21">
        <f t="shared" si="13"/>
        <v>21</v>
      </c>
      <c r="K54" s="100">
        <f t="shared" si="14"/>
        <v>142.72</v>
      </c>
      <c r="L54" s="145">
        <f>+IFERROR(VLOOKUP(C54,'Nemlig Q3'!$A$2:$H$66,5,FALSE),0)</f>
        <v>0</v>
      </c>
      <c r="M54" s="145">
        <f>+IFERROR(VLOOKUP(C54,'Nemlig Q3'!$A$2:$H$66,8,FALSE),0)</f>
        <v>0</v>
      </c>
      <c r="N54" s="21" t="str">
        <f>+IFERROR(VLOOKUP(B54,'Hørkram Q3'!$B$6:$H$60,7,FALSE),"0")</f>
        <v>0</v>
      </c>
      <c r="O54" s="100" t="str">
        <f>+IFERROR(VLOOKUP(B54,'Hørkram Q3'!$B$6:$H$60,6,FALSE),"0")</f>
        <v>0</v>
      </c>
      <c r="P54" s="171"/>
      <c r="Q54" s="172"/>
      <c r="R54" s="158">
        <v>21</v>
      </c>
      <c r="S54" s="160">
        <f>62.72+21+59</f>
        <v>142.72</v>
      </c>
      <c r="T54" s="184"/>
      <c r="U54" s="185"/>
      <c r="V54" s="29"/>
    </row>
    <row r="55" spans="1:24" ht="15.5" x14ac:dyDescent="0.35">
      <c r="A55" s="11" t="s">
        <v>68</v>
      </c>
      <c r="B55" s="35"/>
      <c r="C55" s="133">
        <v>1613945</v>
      </c>
      <c r="D55" s="133"/>
      <c r="E55" s="133"/>
      <c r="F55" s="133"/>
      <c r="G55" s="35" t="s">
        <v>170</v>
      </c>
      <c r="H55" s="35" t="s">
        <v>117</v>
      </c>
      <c r="I55" s="20">
        <f t="shared" si="16"/>
        <v>73.27159508222897</v>
      </c>
      <c r="J55" s="21">
        <f t="shared" si="13"/>
        <v>87.191000000000003</v>
      </c>
      <c r="K55" s="100">
        <f t="shared" si="14"/>
        <v>118.997</v>
      </c>
      <c r="L55" s="145">
        <f>+IFERROR(VLOOKUP(C55,'Nemlig Q3'!$A$2:$H$66,5,FALSE),0)</f>
        <v>87.191000000000003</v>
      </c>
      <c r="M55" s="145">
        <f>+IFERROR(VLOOKUP(C55,'Nemlig Q3'!$A$2:$H$66,8,FALSE),0)</f>
        <v>118.997</v>
      </c>
      <c r="N55" s="21" t="str">
        <f>+IFERROR(VLOOKUP(B55,'Hørkram Q3'!$B$6:$H$60,7,FALSE),"0")</f>
        <v>0</v>
      </c>
      <c r="O55" s="100" t="str">
        <f>+IFERROR(VLOOKUP(B55,'Hørkram Q3'!$B$6:$H$60,6,FALSE),"0")</f>
        <v>0</v>
      </c>
      <c r="P55" s="171"/>
      <c r="Q55" s="172"/>
      <c r="R55" s="156"/>
      <c r="S55" s="159"/>
      <c r="T55" s="184"/>
      <c r="U55" s="185"/>
      <c r="V55" s="29"/>
    </row>
    <row r="56" spans="1:24" ht="15.5" x14ac:dyDescent="0.35">
      <c r="A56" s="11" t="s">
        <v>85</v>
      </c>
      <c r="B56" s="35"/>
      <c r="C56" s="133">
        <v>2155984</v>
      </c>
      <c r="D56" s="133">
        <v>1387175</v>
      </c>
      <c r="E56" s="133">
        <v>2154841</v>
      </c>
      <c r="F56" s="133">
        <v>2329044</v>
      </c>
      <c r="G56" s="35" t="s">
        <v>171</v>
      </c>
      <c r="H56" s="35" t="s">
        <v>124</v>
      </c>
      <c r="I56" s="20">
        <f t="shared" si="16"/>
        <v>48.674642270701391</v>
      </c>
      <c r="J56" s="21">
        <f t="shared" si="13"/>
        <v>10.375</v>
      </c>
      <c r="K56" s="100">
        <f t="shared" si="14"/>
        <v>21.314999999999998</v>
      </c>
      <c r="L56" s="145">
        <f>+IFERROR(VLOOKUP(C56,'Nemlig Q3'!$A$2:$H$64,5,FALSE),0)+'Nemlig Q3'!E62</f>
        <v>6.5129999999999999</v>
      </c>
      <c r="M56" s="145">
        <f>+IFERROR(VLOOKUP(C56,'Nemlig Q3'!$A$2:$H$64,8,FALSE),0)+'Nemlig Q3'!H62</f>
        <v>7.6529999999999996</v>
      </c>
      <c r="N56" s="21" t="str">
        <f>+IFERROR(VLOOKUP(B56,'Hørkram Q3'!$B$6:$H$60,7,FALSE),"0")</f>
        <v>0</v>
      </c>
      <c r="O56" s="100" t="str">
        <f>+IFERROR(VLOOKUP(B56,'Hørkram Q3'!$B$6:$H$60,6,FALSE),"0")</f>
        <v>0</v>
      </c>
      <c r="P56" s="173"/>
      <c r="Q56" s="174"/>
      <c r="R56" s="158">
        <v>3.8620000000000001</v>
      </c>
      <c r="S56" s="155">
        <f>5.062+8.6</f>
        <v>13.661999999999999</v>
      </c>
      <c r="T56" s="184"/>
      <c r="U56" s="185"/>
      <c r="V56" s="29"/>
    </row>
    <row r="57" spans="1:24" ht="15.5" x14ac:dyDescent="0.35">
      <c r="A57" s="11" t="s">
        <v>8</v>
      </c>
      <c r="B57" s="35">
        <v>200049625</v>
      </c>
      <c r="C57" s="133"/>
      <c r="D57" s="133"/>
      <c r="E57" s="133"/>
      <c r="F57" s="133"/>
      <c r="G57" s="35" t="s">
        <v>170</v>
      </c>
      <c r="H57" s="35" t="s">
        <v>117</v>
      </c>
      <c r="I57" s="20">
        <f t="shared" si="16"/>
        <v>99.464310041986209</v>
      </c>
      <c r="J57" s="21">
        <f t="shared" si="13"/>
        <v>1774.126</v>
      </c>
      <c r="K57" s="100">
        <f t="shared" si="14"/>
        <v>1783.681</v>
      </c>
      <c r="L57" s="145">
        <f>+IFERROR(VLOOKUP(C57,'Nemlig Q3'!$A$2:$H$66,5,FALSE),0)</f>
        <v>0</v>
      </c>
      <c r="M57" s="145">
        <f>+IFERROR(VLOOKUP(C57,'Nemlig Q3'!$A$2:$H$66,8,FALSE),0)</f>
        <v>0</v>
      </c>
      <c r="N57" s="21">
        <f>+IFERROR(VLOOKUP(B57,'Hørkram Q3'!$B$6:$H$60,7,FALSE),"0")</f>
        <v>1774.126</v>
      </c>
      <c r="O57" s="100">
        <f>+IFERROR(VLOOKUP(B57,'Hørkram Q3'!$B$6:$H$60,6,FALSE),"0")</f>
        <v>1783.681</v>
      </c>
      <c r="P57" s="171"/>
      <c r="Q57" s="172"/>
      <c r="R57" s="158"/>
      <c r="S57" s="155"/>
      <c r="T57" s="184"/>
      <c r="U57" s="185"/>
      <c r="V57" s="29"/>
    </row>
    <row r="58" spans="1:24" ht="15.5" x14ac:dyDescent="0.35">
      <c r="A58" s="11" t="s">
        <v>109</v>
      </c>
      <c r="B58" s="35"/>
      <c r="C58" s="133">
        <v>2312561</v>
      </c>
      <c r="D58" s="133"/>
      <c r="E58" s="133"/>
      <c r="F58" s="133"/>
      <c r="G58" s="35" t="s">
        <v>171</v>
      </c>
      <c r="H58" s="35" t="s">
        <v>124</v>
      </c>
      <c r="I58" s="20">
        <f t="shared" si="16"/>
        <v>33.512064343163537</v>
      </c>
      <c r="J58" s="21">
        <f t="shared" si="13"/>
        <v>30</v>
      </c>
      <c r="K58" s="100">
        <f t="shared" si="14"/>
        <v>89.52000000000001</v>
      </c>
      <c r="L58" s="145">
        <f>+IFERROR(VLOOKUP(C58,'Nemlig Q3'!$A$2:$H$66,5,FALSE),0)</f>
        <v>0</v>
      </c>
      <c r="M58" s="145">
        <f>+IFERROR(VLOOKUP(C58,'Nemlig Q3'!$A$2:$H$66,8,FALSE),0)</f>
        <v>0</v>
      </c>
      <c r="N58" s="21" t="str">
        <f>+IFERROR(VLOOKUP(B58,'Hørkram Q3'!$B$6:$H$60,7,FALSE),"0")</f>
        <v>0</v>
      </c>
      <c r="O58" s="100" t="str">
        <f>+IFERROR(VLOOKUP(B58,'Hørkram Q3'!$B$6:$H$60,6,FALSE),"0")</f>
        <v>0</v>
      </c>
      <c r="P58" s="171"/>
      <c r="Q58" s="172"/>
      <c r="R58" s="156">
        <v>30</v>
      </c>
      <c r="S58" s="157">
        <f>49.52+40</f>
        <v>89.52000000000001</v>
      </c>
      <c r="T58" s="184"/>
      <c r="U58" s="185"/>
      <c r="V58" s="29"/>
    </row>
    <row r="59" spans="1:24" ht="15.5" x14ac:dyDescent="0.35">
      <c r="A59" s="11" t="s">
        <v>30</v>
      </c>
      <c r="B59" s="35"/>
      <c r="C59" s="133">
        <v>2242256</v>
      </c>
      <c r="D59" s="133"/>
      <c r="E59" s="133"/>
      <c r="F59" s="133"/>
      <c r="G59" s="35" t="s">
        <v>171</v>
      </c>
      <c r="H59" s="35" t="s">
        <v>119</v>
      </c>
      <c r="I59" s="20" t="str">
        <f>IFERROR(((J59*100)/K59)," ")</f>
        <v xml:space="preserve"> </v>
      </c>
      <c r="J59" s="21">
        <f t="shared" si="13"/>
        <v>0</v>
      </c>
      <c r="K59" s="100">
        <f t="shared" si="14"/>
        <v>0</v>
      </c>
      <c r="L59" s="145">
        <f>+IFERROR(VLOOKUP(C59,'Nemlig Q3'!$A$2:$H$66,5,FALSE),0)</f>
        <v>0</v>
      </c>
      <c r="M59" s="145">
        <f>+IFERROR(VLOOKUP(C59,'Nemlig Q3'!$A$2:$H$66,8,FALSE),0)</f>
        <v>0</v>
      </c>
      <c r="N59" s="21" t="str">
        <f>+IFERROR(VLOOKUP(B59,'Hørkram Q3'!$B$6:$H$60,7,FALSE),"0")</f>
        <v>0</v>
      </c>
      <c r="O59" s="100" t="str">
        <f>+IFERROR(VLOOKUP(B59,'Hørkram Q3'!$B$6:$H$60,6,FALSE),"0")</f>
        <v>0</v>
      </c>
      <c r="P59" s="171"/>
      <c r="Q59" s="172"/>
      <c r="R59" s="156"/>
      <c r="S59" s="157"/>
      <c r="T59" s="184"/>
      <c r="U59" s="185"/>
      <c r="V59" s="29"/>
    </row>
    <row r="60" spans="1:24" ht="15.5" x14ac:dyDescent="0.35">
      <c r="A60" s="11" t="s">
        <v>206</v>
      </c>
      <c r="B60" s="35">
        <v>200042435</v>
      </c>
      <c r="C60" s="133"/>
      <c r="D60" s="133"/>
      <c r="E60" s="133"/>
      <c r="F60" s="133"/>
      <c r="G60" s="35" t="s">
        <v>170</v>
      </c>
      <c r="H60" s="35" t="s">
        <v>120</v>
      </c>
      <c r="I60" s="20">
        <f t="shared" si="16"/>
        <v>25.334436844790073</v>
      </c>
      <c r="J60" s="21">
        <f t="shared" si="13"/>
        <v>486.71</v>
      </c>
      <c r="K60" s="100">
        <f t="shared" si="14"/>
        <v>1921.14</v>
      </c>
      <c r="L60" s="145">
        <f>+IFERROR(VLOOKUP(C60,'Nemlig Q3'!$A$2:$H$66,5,FALSE),0)</f>
        <v>0</v>
      </c>
      <c r="M60" s="145">
        <f>+IFERROR(VLOOKUP(C60,'Nemlig Q3'!$A$2:$H$66,8,FALSE),0)</f>
        <v>0</v>
      </c>
      <c r="N60" s="21">
        <f>+IFERROR(VLOOKUP(B60,'Hørkram Q3'!$B$6:$H$60,7,FALSE),"0")</f>
        <v>486.71</v>
      </c>
      <c r="O60" s="100">
        <f>+IFERROR(VLOOKUP(B60,'Hørkram Q3'!$B$6:$H$60,6,FALSE),"0")</f>
        <v>1921.14</v>
      </c>
      <c r="P60" s="173"/>
      <c r="Q60" s="174"/>
      <c r="R60" s="158"/>
      <c r="S60" s="155"/>
      <c r="T60" s="184"/>
      <c r="U60" s="185"/>
      <c r="V60" s="29"/>
    </row>
    <row r="61" spans="1:24" ht="15.5" x14ac:dyDescent="0.35">
      <c r="A61" s="11" t="s">
        <v>88</v>
      </c>
      <c r="B61" s="35"/>
      <c r="C61" s="133">
        <v>2162988</v>
      </c>
      <c r="D61" s="133"/>
      <c r="E61" s="133"/>
      <c r="F61" s="133"/>
      <c r="G61" s="35" t="s">
        <v>171</v>
      </c>
      <c r="H61" s="35" t="s">
        <v>121</v>
      </c>
      <c r="I61" s="20">
        <f t="shared" si="16"/>
        <v>13.037261206733495</v>
      </c>
      <c r="J61" s="21">
        <f t="shared" si="13"/>
        <v>34.463999999999999</v>
      </c>
      <c r="K61" s="100">
        <f t="shared" si="14"/>
        <v>264.35000000000002</v>
      </c>
      <c r="L61" s="145">
        <f>+IFERROR(VLOOKUP(C61,'Nemlig Q3'!$A$2:$H$66,5,FALSE),0)</f>
        <v>34.463999999999999</v>
      </c>
      <c r="M61" s="145">
        <f>+IFERROR(VLOOKUP(C61,'Nemlig Q3'!$A$2:$H$66,8,FALSE),0)</f>
        <v>264.35000000000002</v>
      </c>
      <c r="N61" s="21" t="str">
        <f>+IFERROR(VLOOKUP(B61,'Hørkram Q3'!$B$6:$H$60,7,FALSE),"0")</f>
        <v>0</v>
      </c>
      <c r="O61" s="100" t="str">
        <f>+IFERROR(VLOOKUP(B61,'Hørkram Q3'!$B$6:$H$60,6,FALSE),"0")</f>
        <v>0</v>
      </c>
      <c r="P61" s="171"/>
      <c r="Q61" s="172"/>
      <c r="R61" s="156"/>
      <c r="S61" s="159"/>
      <c r="T61" s="184"/>
      <c r="U61" s="185"/>
      <c r="V61" s="29"/>
    </row>
    <row r="62" spans="1:24" x14ac:dyDescent="0.35">
      <c r="A62" s="11" t="s">
        <v>112</v>
      </c>
      <c r="B62" s="35">
        <v>200044538</v>
      </c>
      <c r="C62" s="133"/>
      <c r="D62" s="133"/>
      <c r="E62" s="133"/>
      <c r="F62" s="133"/>
      <c r="G62" s="35" t="s">
        <v>171</v>
      </c>
      <c r="H62" s="35" t="s">
        <v>118</v>
      </c>
      <c r="I62" s="20">
        <f t="shared" si="16"/>
        <v>66.134739536605409</v>
      </c>
      <c r="J62" s="21">
        <f t="shared" si="13"/>
        <v>421.64600000000002</v>
      </c>
      <c r="K62" s="100">
        <f t="shared" si="14"/>
        <v>637.55600000000004</v>
      </c>
      <c r="L62" s="145">
        <f>+IFERROR(VLOOKUP(C62,'Nemlig Q3'!$A$2:$H$66,5,FALSE),0)</f>
        <v>0</v>
      </c>
      <c r="M62" s="145">
        <f>+IFERROR(VLOOKUP(C62,'Nemlig Q3'!$A$2:$H$66,8,FALSE),0)</f>
        <v>0</v>
      </c>
      <c r="N62" s="21">
        <f>+IFERROR(VLOOKUP(B62,'Hørkram Q3'!$B$6:$H$60,7,FALSE),"0")</f>
        <v>421.64600000000002</v>
      </c>
      <c r="O62" s="100">
        <f>+IFERROR(VLOOKUP(B62,'Hørkram Q3'!$B$6:$H$60,6,FALSE),"0")</f>
        <v>637.55600000000004</v>
      </c>
      <c r="P62" s="173"/>
      <c r="Q62" s="174"/>
      <c r="R62" s="156"/>
      <c r="S62" s="159"/>
      <c r="T62" s="184"/>
      <c r="U62" s="185"/>
      <c r="V62" s="29"/>
    </row>
    <row r="63" spans="1:24" ht="15.5" x14ac:dyDescent="0.35">
      <c r="A63" s="11" t="s">
        <v>113</v>
      </c>
      <c r="B63" s="35">
        <v>200043647</v>
      </c>
      <c r="C63" s="133">
        <v>2386462</v>
      </c>
      <c r="D63" s="133"/>
      <c r="E63" s="133"/>
      <c r="F63" s="133"/>
      <c r="G63" s="35" t="s">
        <v>171</v>
      </c>
      <c r="H63" s="35" t="s">
        <v>118</v>
      </c>
      <c r="I63" s="20">
        <f t="shared" si="16"/>
        <v>5.6189193268777755</v>
      </c>
      <c r="J63" s="21">
        <f t="shared" si="13"/>
        <v>49.137</v>
      </c>
      <c r="K63" s="100">
        <f t="shared" si="14"/>
        <v>874.49199999999996</v>
      </c>
      <c r="L63" s="145">
        <f>+IFERROR(VLOOKUP(C63,'Nemlig Q3'!$A$2:$H$66,5,FALSE),0)</f>
        <v>17.942</v>
      </c>
      <c r="M63" s="145">
        <f>+IFERROR(VLOOKUP(C63,'Nemlig Q3'!$A$2:$H$66,8,FALSE),0)</f>
        <v>268.02999999999997</v>
      </c>
      <c r="N63" s="21">
        <f>+IFERROR(VLOOKUP(B63,'Hørkram Q3'!$B$6:$H$60,7,FALSE),"0")</f>
        <v>31.195</v>
      </c>
      <c r="O63" s="100">
        <f>+IFERROR(VLOOKUP(B63,'Hørkram Q3'!$B$6:$H$60,6,FALSE),"0")</f>
        <v>606.46199999999999</v>
      </c>
      <c r="P63" s="171"/>
      <c r="Q63" s="172"/>
      <c r="R63" s="156"/>
      <c r="S63" s="157"/>
      <c r="T63" s="184"/>
      <c r="U63" s="185"/>
      <c r="V63" s="29"/>
    </row>
    <row r="64" spans="1:24" x14ac:dyDescent="0.35">
      <c r="A64" s="11" t="s">
        <v>47</v>
      </c>
      <c r="B64" s="35">
        <v>200140674</v>
      </c>
      <c r="C64" s="133">
        <v>2222649</v>
      </c>
      <c r="D64" s="133"/>
      <c r="E64" s="133"/>
      <c r="F64" s="133"/>
      <c r="G64" s="35" t="s">
        <v>171</v>
      </c>
      <c r="H64" s="35" t="s">
        <v>118</v>
      </c>
      <c r="I64" s="20">
        <f>IFERROR(((J64*100)/K64),"")</f>
        <v>19.330412786248701</v>
      </c>
      <c r="J64" s="21">
        <f t="shared" si="13"/>
        <v>57.847999999999999</v>
      </c>
      <c r="K64" s="100">
        <f t="shared" si="14"/>
        <v>299.25900000000001</v>
      </c>
      <c r="L64" s="145">
        <f>+IFERROR(VLOOKUP(C64,'Nemlig Q3'!$A$2:$H$66,5,FALSE),0)</f>
        <v>57.847999999999999</v>
      </c>
      <c r="M64" s="145">
        <f>+IFERROR(VLOOKUP(C64,'Nemlig Q3'!$A$2:$H$66,8,FALSE),0)</f>
        <v>299.25900000000001</v>
      </c>
      <c r="N64" s="21" t="str">
        <f>+IFERROR(VLOOKUP(B64,'Hørkram Q3'!$B$6:$H$60,7,FALSE),"0")</f>
        <v>0</v>
      </c>
      <c r="O64" s="100" t="str">
        <f>+IFERROR(VLOOKUP(B64,'Hørkram Q3'!$B$6:$H$60,6,FALSE),"0")</f>
        <v>0</v>
      </c>
      <c r="P64" s="173"/>
      <c r="Q64" s="174"/>
      <c r="R64" s="156"/>
      <c r="S64" s="157"/>
      <c r="T64" s="184"/>
      <c r="U64" s="185"/>
      <c r="V64" s="29"/>
    </row>
    <row r="65" spans="1:24" ht="15.5" x14ac:dyDescent="0.35">
      <c r="A65" s="11" t="s">
        <v>114</v>
      </c>
      <c r="B65" s="35">
        <v>200055084</v>
      </c>
      <c r="C65" s="133">
        <v>2162953</v>
      </c>
      <c r="D65" s="133"/>
      <c r="E65" s="133"/>
      <c r="F65" s="133"/>
      <c r="G65" s="35" t="s">
        <v>170</v>
      </c>
      <c r="H65" s="35" t="s">
        <v>118</v>
      </c>
      <c r="I65" s="20">
        <f t="shared" si="16"/>
        <v>85.311495998202773</v>
      </c>
      <c r="J65" s="21">
        <f t="shared" si="13"/>
        <v>315.19099999999997</v>
      </c>
      <c r="K65" s="100">
        <f t="shared" si="14"/>
        <v>369.459</v>
      </c>
      <c r="L65" s="145">
        <f>+IFERROR(VLOOKUP(C65,'Nemlig Q3'!$A$2:$H$66,5,FALSE),0)</f>
        <v>103.877</v>
      </c>
      <c r="M65" s="145">
        <f>+IFERROR(VLOOKUP(C65,'Nemlig Q3'!$A$2:$H$66,8,FALSE),0)</f>
        <v>118.651</v>
      </c>
      <c r="N65" s="21">
        <f>+IFERROR(VLOOKUP(B65,'Hørkram Q3'!$B$6:$H$60,7,FALSE),"0")</f>
        <v>211.31399999999999</v>
      </c>
      <c r="O65" s="100">
        <f>+IFERROR(VLOOKUP(B65,'Hørkram Q3'!$B$6:$H$60,6,FALSE),"0")</f>
        <v>250.80799999999999</v>
      </c>
      <c r="P65" s="173"/>
      <c r="Q65" s="174"/>
      <c r="R65" s="158"/>
      <c r="S65" s="160"/>
      <c r="T65" s="184"/>
      <c r="U65" s="185"/>
      <c r="V65" s="29"/>
    </row>
    <row r="66" spans="1:24" ht="15.5" x14ac:dyDescent="0.35">
      <c r="A66" s="11" t="s">
        <v>175</v>
      </c>
      <c r="B66" s="35">
        <v>200182711</v>
      </c>
      <c r="C66" s="133">
        <v>1346990</v>
      </c>
      <c r="D66" s="133"/>
      <c r="E66" s="133"/>
      <c r="F66" s="133"/>
      <c r="G66" s="35" t="s">
        <v>171</v>
      </c>
      <c r="H66" s="35" t="s">
        <v>124</v>
      </c>
      <c r="I66" s="20">
        <f t="shared" si="16"/>
        <v>40.476378762237651</v>
      </c>
      <c r="J66" s="21">
        <f t="shared" si="13"/>
        <v>51.184000000000005</v>
      </c>
      <c r="K66" s="100">
        <f t="shared" si="14"/>
        <v>126.45400000000001</v>
      </c>
      <c r="L66" s="145">
        <f>+IFERROR(VLOOKUP(C66,'Nemlig Q3'!$A$2:$H$66,5,FALSE),0)</f>
        <v>36.938000000000002</v>
      </c>
      <c r="M66" s="145">
        <f>+IFERROR(VLOOKUP(C66,'Nemlig Q3'!$A$2:$H$66,8,FALSE),0)</f>
        <v>82.962000000000003</v>
      </c>
      <c r="N66" s="21">
        <f>+IFERROR(VLOOKUP(B66,'Hørkram Q3'!$B$6:$H$60,7,FALSE),"0")</f>
        <v>14.246</v>
      </c>
      <c r="O66" s="100">
        <f>+IFERROR(VLOOKUP(B66,'Hørkram Q3'!$B$6:$H$60,6,FALSE),"0")</f>
        <v>25.571999999999999</v>
      </c>
      <c r="P66" s="173"/>
      <c r="Q66" s="174"/>
      <c r="R66" s="153"/>
      <c r="S66" s="160">
        <v>17.920000000000002</v>
      </c>
      <c r="T66" s="184"/>
      <c r="U66" s="185"/>
      <c r="V66" s="29"/>
    </row>
    <row r="67" spans="1:24" ht="15.5" x14ac:dyDescent="0.35">
      <c r="A67" s="11" t="s">
        <v>22</v>
      </c>
      <c r="B67" s="35">
        <v>200652832</v>
      </c>
      <c r="C67" s="133"/>
      <c r="D67" s="133"/>
      <c r="E67" s="133"/>
      <c r="F67" s="133"/>
      <c r="G67" s="35" t="s">
        <v>170</v>
      </c>
      <c r="H67" s="35" t="s">
        <v>122</v>
      </c>
      <c r="I67" s="20">
        <f t="shared" ref="I67:I97" si="17">(J67*100)/K67</f>
        <v>76.140009558662058</v>
      </c>
      <c r="J67" s="21">
        <f t="shared" ref="J67:J97" si="18">+L67+N67+P67+R67+T67</f>
        <v>1532.5719999999999</v>
      </c>
      <c r="K67" s="100">
        <f t="shared" ref="K67:K97" si="19">+M67+O67+Q67+S67+U67</f>
        <v>2012.8340000000001</v>
      </c>
      <c r="L67" s="145">
        <f>+IFERROR(VLOOKUP(C67,'Nemlig Q3'!$A$2:$H$66,5,FALSE),0)</f>
        <v>0</v>
      </c>
      <c r="M67" s="145">
        <f>+IFERROR(VLOOKUP(C67,'Nemlig Q3'!$A$2:$H$66,8,FALSE),0)</f>
        <v>0</v>
      </c>
      <c r="N67" s="21">
        <f>+IFERROR(VLOOKUP(B67,'Hørkram Q3'!$B$6:$H$60,7,FALSE),"0")</f>
        <v>1484.5719999999999</v>
      </c>
      <c r="O67" s="100">
        <f>+IFERROR(VLOOKUP(B67,'Hørkram Q3'!$B$6:$H$60,6,FALSE),"0")</f>
        <v>1963.9760000000001</v>
      </c>
      <c r="P67" s="171"/>
      <c r="Q67" s="172"/>
      <c r="R67" s="156">
        <v>48</v>
      </c>
      <c r="S67" s="157">
        <v>48.857999999999997</v>
      </c>
      <c r="T67" s="184"/>
      <c r="U67" s="185"/>
      <c r="V67" s="29"/>
    </row>
    <row r="68" spans="1:24" ht="15.5" x14ac:dyDescent="0.35">
      <c r="A68" s="11" t="s">
        <v>48</v>
      </c>
      <c r="B68" s="35">
        <v>200536248</v>
      </c>
      <c r="C68" s="133"/>
      <c r="D68" s="133"/>
      <c r="E68" s="133"/>
      <c r="F68" s="133"/>
      <c r="G68" s="35" t="s">
        <v>170</v>
      </c>
      <c r="H68" s="35" t="s">
        <v>122</v>
      </c>
      <c r="I68" s="20">
        <f t="shared" si="17"/>
        <v>53.216752203919896</v>
      </c>
      <c r="J68" s="21">
        <f t="shared" si="18"/>
        <v>926.37699999999995</v>
      </c>
      <c r="K68" s="100">
        <f t="shared" si="19"/>
        <v>1740.7619999999999</v>
      </c>
      <c r="L68" s="145">
        <f>+IFERROR(VLOOKUP(C68,'Nemlig Q3'!$A$2:$H$66,5,FALSE),0)</f>
        <v>0</v>
      </c>
      <c r="M68" s="145">
        <f>+IFERROR(VLOOKUP(C68,'Nemlig Q3'!$A$2:$H$66,8,FALSE),0)</f>
        <v>0</v>
      </c>
      <c r="N68" s="21">
        <f>+IFERROR(VLOOKUP(B68,'Hørkram Q3'!$B$6:$H$60,7,FALSE),"0")</f>
        <v>926.37699999999995</v>
      </c>
      <c r="O68" s="100">
        <f>+IFERROR(VLOOKUP(B68,'Hørkram Q3'!$B$6:$H$60,6,FALSE),"0")</f>
        <v>1730.7619999999999</v>
      </c>
      <c r="P68" s="171"/>
      <c r="Q68" s="172"/>
      <c r="R68" s="156"/>
      <c r="S68" s="157">
        <v>10</v>
      </c>
      <c r="T68" s="184"/>
      <c r="U68" s="185"/>
      <c r="V68" s="29"/>
    </row>
    <row r="69" spans="1:24" ht="15.5" x14ac:dyDescent="0.35">
      <c r="A69" s="11" t="s">
        <v>12</v>
      </c>
      <c r="B69" s="35">
        <v>200692968</v>
      </c>
      <c r="C69" s="133"/>
      <c r="D69" s="133"/>
      <c r="E69" s="133"/>
      <c r="F69" s="133"/>
      <c r="G69" s="35" t="s">
        <v>170</v>
      </c>
      <c r="H69" s="35" t="s">
        <v>122</v>
      </c>
      <c r="I69" s="20">
        <f t="shared" si="17"/>
        <v>32.504866439304053</v>
      </c>
      <c r="J69" s="21">
        <f t="shared" si="18"/>
        <v>5931.8029999999999</v>
      </c>
      <c r="K69" s="100">
        <f t="shared" si="19"/>
        <v>18248.969000000001</v>
      </c>
      <c r="L69" s="145">
        <f>+IFERROR(VLOOKUP(C69,'Nemlig Q3'!$A$2:$H$66,5,FALSE),0)</f>
        <v>0</v>
      </c>
      <c r="M69" s="145">
        <f>+IFERROR(VLOOKUP(C69,'Nemlig Q3'!$A$2:$H$66,8,FALSE),0)</f>
        <v>0</v>
      </c>
      <c r="N69" s="21">
        <f>+IFERROR(VLOOKUP(B69,'Hørkram Q3'!$B$6:$H$60,7,FALSE),"0")</f>
        <v>5838.8029999999999</v>
      </c>
      <c r="O69" s="100">
        <f>+IFERROR(VLOOKUP(B69,'Hørkram Q3'!$B$6:$H$60,6,FALSE),"0")</f>
        <v>18228.969000000001</v>
      </c>
      <c r="P69" s="173"/>
      <c r="Q69" s="174"/>
      <c r="R69" s="158">
        <v>93</v>
      </c>
      <c r="S69" s="159">
        <v>20</v>
      </c>
      <c r="T69" s="184"/>
      <c r="U69" s="185"/>
      <c r="V69" s="29"/>
    </row>
    <row r="70" spans="1:24" x14ac:dyDescent="0.35">
      <c r="A70" s="11" t="s">
        <v>23</v>
      </c>
      <c r="B70" s="35">
        <v>200652849</v>
      </c>
      <c r="C70" s="133"/>
      <c r="D70" s="133"/>
      <c r="E70" s="133"/>
      <c r="F70" s="133"/>
      <c r="G70" s="35" t="s">
        <v>170</v>
      </c>
      <c r="H70" s="35" t="s">
        <v>122</v>
      </c>
      <c r="I70" s="20">
        <f t="shared" si="17"/>
        <v>50.92274126542933</v>
      </c>
      <c r="J70" s="21">
        <f t="shared" si="18"/>
        <v>851.91200000000003</v>
      </c>
      <c r="K70" s="100">
        <f t="shared" si="19"/>
        <v>1672.95</v>
      </c>
      <c r="L70" s="145">
        <f>+IFERROR(VLOOKUP(C70,'Nemlig Q3'!$A$2:$H$66,5,FALSE),0)</f>
        <v>0</v>
      </c>
      <c r="M70" s="145">
        <f>+IFERROR(VLOOKUP(C70,'Nemlig Q3'!$A$2:$H$66,8,FALSE),0)</f>
        <v>0</v>
      </c>
      <c r="N70" s="21">
        <f>+IFERROR(VLOOKUP(B70,'Hørkram Q3'!$B$6:$H$60,7,FALSE),"0")</f>
        <v>851.91200000000003</v>
      </c>
      <c r="O70" s="100">
        <f>+IFERROR(VLOOKUP(B70,'Hørkram Q3'!$B$6:$H$60,6,FALSE),"0")</f>
        <v>1632.95</v>
      </c>
      <c r="P70" s="173"/>
      <c r="Q70" s="174"/>
      <c r="R70" s="156"/>
      <c r="S70" s="159">
        <f>20+20</f>
        <v>40</v>
      </c>
      <c r="T70" s="184"/>
      <c r="U70" s="185"/>
      <c r="V70" s="29"/>
    </row>
    <row r="71" spans="1:24" x14ac:dyDescent="0.35">
      <c r="A71" s="11" t="s">
        <v>24</v>
      </c>
      <c r="B71" s="35">
        <v>200652900</v>
      </c>
      <c r="C71" s="133"/>
      <c r="D71" s="133"/>
      <c r="E71" s="133"/>
      <c r="F71" s="133"/>
      <c r="G71" s="35" t="s">
        <v>170</v>
      </c>
      <c r="H71" s="35" t="s">
        <v>122</v>
      </c>
      <c r="I71" s="20">
        <f t="shared" si="17"/>
        <v>21.385482879439884</v>
      </c>
      <c r="J71" s="21">
        <f t="shared" si="18"/>
        <v>282.47399999999999</v>
      </c>
      <c r="K71" s="100">
        <f t="shared" si="19"/>
        <v>1320.8679999999999</v>
      </c>
      <c r="L71" s="145">
        <f>+IFERROR(VLOOKUP(C71,'Nemlig Q3'!$A$2:$H$66,5,FALSE),0)</f>
        <v>0</v>
      </c>
      <c r="M71" s="145">
        <f>+IFERROR(VLOOKUP(C71,'Nemlig Q3'!$A$2:$H$66,8,FALSE),0)</f>
        <v>0</v>
      </c>
      <c r="N71" s="21">
        <f>+IFERROR(VLOOKUP(B71,'Hørkram Q3'!$B$6:$H$60,7,FALSE),"0")</f>
        <v>262.47399999999999</v>
      </c>
      <c r="O71" s="100">
        <f>+IFERROR(VLOOKUP(B71,'Hørkram Q3'!$B$6:$H$60,6,FALSE),"0")</f>
        <v>1300.8679999999999</v>
      </c>
      <c r="P71" s="173"/>
      <c r="Q71" s="174"/>
      <c r="R71" s="156">
        <v>20</v>
      </c>
      <c r="S71" s="157">
        <v>20</v>
      </c>
      <c r="T71" s="184"/>
      <c r="U71" s="185"/>
      <c r="V71" s="29"/>
    </row>
    <row r="72" spans="1:24" x14ac:dyDescent="0.35">
      <c r="A72" s="11" t="s">
        <v>232</v>
      </c>
      <c r="B72" s="35" t="s">
        <v>254</v>
      </c>
      <c r="C72" s="133"/>
      <c r="D72" s="133"/>
      <c r="E72" s="133"/>
      <c r="F72" s="133"/>
      <c r="G72" s="35"/>
      <c r="H72" s="35" t="s">
        <v>122</v>
      </c>
      <c r="I72" s="20">
        <f t="shared" ref="I72" si="20">(J72*100)/K72</f>
        <v>24.361223381368539</v>
      </c>
      <c r="J72" s="21">
        <f t="shared" ref="J72" si="21">+L72+N72+P72+R72+T72</f>
        <v>690.74299999999994</v>
      </c>
      <c r="K72" s="100">
        <f t="shared" ref="K72" si="22">+M72+O72+Q72+S72+U72</f>
        <v>2835.42</v>
      </c>
      <c r="L72" s="145">
        <f>+IFERROR(VLOOKUP(C72,'Nemlig Q3'!$A$2:$H$66,5,FALSE),0)</f>
        <v>0</v>
      </c>
      <c r="M72" s="145">
        <f>+IFERROR(VLOOKUP(C72,'Nemlig Q3'!$A$2:$H$66,8,FALSE),0)</f>
        <v>0</v>
      </c>
      <c r="N72" s="21">
        <f>+'Hørkram Q3'!H43+'Hørkram Q3'!H45</f>
        <v>690.74299999999994</v>
      </c>
      <c r="O72" s="100">
        <f>+'Hørkram Q3'!G43+'Hørkram Q3'!G45</f>
        <v>2743.152</v>
      </c>
      <c r="P72" s="173"/>
      <c r="Q72" s="174"/>
      <c r="R72" s="156"/>
      <c r="S72" s="157">
        <v>92.268000000000001</v>
      </c>
      <c r="T72" s="190"/>
      <c r="U72" s="185"/>
      <c r="V72" s="29"/>
    </row>
    <row r="73" spans="1:24" ht="15.5" x14ac:dyDescent="0.35">
      <c r="A73" s="11" t="s">
        <v>176</v>
      </c>
      <c r="B73" s="35"/>
      <c r="C73" s="133">
        <v>2163130</v>
      </c>
      <c r="D73" s="133">
        <v>1088515</v>
      </c>
      <c r="E73" s="133"/>
      <c r="F73" s="133"/>
      <c r="G73" s="35" t="s">
        <v>171</v>
      </c>
      <c r="H73" s="35" t="s">
        <v>118</v>
      </c>
      <c r="I73" s="20">
        <f t="shared" si="17"/>
        <v>70.993941693080828</v>
      </c>
      <c r="J73" s="21">
        <f>+L73+N73+P73+R73+T73</f>
        <v>310.65600000000001</v>
      </c>
      <c r="K73" s="100">
        <f t="shared" si="19"/>
        <v>437.58100000000002</v>
      </c>
      <c r="L73" s="145">
        <f>+IFERROR(VLOOKUP(C73,'Nemlig Q3'!$A$2:$H$66,5,FALSE),0)+'Nemlig Q3'!E5</f>
        <v>310.65600000000001</v>
      </c>
      <c r="M73" s="145">
        <f>+IFERROR(VLOOKUP(C73,'Nemlig Q3'!$A$2:$H$66,8,FALSE),0)+'Nemlig Q3'!H5</f>
        <v>437.58100000000002</v>
      </c>
      <c r="N73" s="21" t="str">
        <f>+IFERROR(VLOOKUP(B73,'Hørkram Q3'!$B$6:$H$60,7,FALSE),"0")</f>
        <v>0</v>
      </c>
      <c r="O73" s="100" t="str">
        <f>+IFERROR(VLOOKUP(B73,'Hørkram Q3'!$B$6:$H$60,6,FALSE),"0")</f>
        <v>0</v>
      </c>
      <c r="P73" s="173"/>
      <c r="Q73" s="174"/>
      <c r="R73" s="153"/>
      <c r="S73" s="154"/>
      <c r="T73" s="191"/>
      <c r="U73" s="185"/>
      <c r="V73" s="29"/>
    </row>
    <row r="74" spans="1:24" ht="15.5" x14ac:dyDescent="0.35">
      <c r="A74" s="11" t="s">
        <v>218</v>
      </c>
      <c r="B74" s="35">
        <v>200039428</v>
      </c>
      <c r="C74" s="133"/>
      <c r="D74" s="133"/>
      <c r="E74" s="133"/>
      <c r="F74" s="133"/>
      <c r="G74" s="35" t="s">
        <v>170</v>
      </c>
      <c r="H74" s="35" t="s">
        <v>120</v>
      </c>
      <c r="I74" s="20">
        <f>IFERROR(((J74*100)/K74)," ")</f>
        <v>64.643327842755141</v>
      </c>
      <c r="J74" s="21">
        <f>+L74+N74+P74+R74+T74</f>
        <v>585.14300000000003</v>
      </c>
      <c r="K74" s="100">
        <f t="shared" ref="K74" si="23">+M74+O74+Q74+S74+U74</f>
        <v>905.18700000000001</v>
      </c>
      <c r="L74" s="145">
        <f>+IFERROR(VLOOKUP(C74,'Nemlig Q3'!$A$2:$H$66,5,FALSE),0)</f>
        <v>0</v>
      </c>
      <c r="M74" s="145">
        <f>+IFERROR(VLOOKUP(C74,'Nemlig Q3'!$A$2:$H$66,8,FALSE),0)</f>
        <v>0</v>
      </c>
      <c r="N74" s="21">
        <f>+IFERROR(VLOOKUP(B74,'Hørkram Q3'!$B$6:$H$60,7,FALSE),"0")</f>
        <v>555.14300000000003</v>
      </c>
      <c r="O74" s="100">
        <f>+IFERROR(VLOOKUP(B74,'Hørkram Q3'!$B$6:$H$60,6,FALSE),"0")</f>
        <v>849.18700000000001</v>
      </c>
      <c r="P74" s="171"/>
      <c r="Q74" s="172"/>
      <c r="R74" s="153">
        <v>30</v>
      </c>
      <c r="S74" s="154">
        <v>56</v>
      </c>
      <c r="T74" s="190"/>
      <c r="U74" s="185"/>
      <c r="V74" s="29"/>
    </row>
    <row r="75" spans="1:24" ht="15.5" x14ac:dyDescent="0.35">
      <c r="A75" s="11" t="s">
        <v>59</v>
      </c>
      <c r="B75" s="35" t="s">
        <v>231</v>
      </c>
      <c r="C75" s="133">
        <v>2180848</v>
      </c>
      <c r="D75" s="133">
        <v>1501208</v>
      </c>
      <c r="E75" s="133"/>
      <c r="F75" s="133"/>
      <c r="G75" s="35" t="s">
        <v>171</v>
      </c>
      <c r="H75" s="35" t="s">
        <v>124</v>
      </c>
      <c r="I75" s="20">
        <f t="shared" si="17"/>
        <v>23.720980306211114</v>
      </c>
      <c r="J75" s="21">
        <f>+L75+N75+P75+R74+T75</f>
        <v>123.38800000000001</v>
      </c>
      <c r="K75" s="100">
        <f>+M75+O75+Q75+S75+U75</f>
        <v>520.1640000000001</v>
      </c>
      <c r="L75" s="145">
        <f>+IFERROR(VLOOKUP(C75,'Nemlig Q3'!$A$2:$H$66,5,FALSE),0)</f>
        <v>2.9020000000000001</v>
      </c>
      <c r="M75" s="145">
        <f>+IFERROR(VLOOKUP(C75,'Nemlig Q3'!$A$2:$H$66,8,FALSE),0)</f>
        <v>107.102</v>
      </c>
      <c r="N75" s="21">
        <f>+'Hørkram Q3'!H40+'Hørkram Q3'!H42</f>
        <v>90.486000000000004</v>
      </c>
      <c r="O75" s="100">
        <f>+'Hørkram Q3'!G40+'Hørkram Q3'!G42</f>
        <v>330.68400000000003</v>
      </c>
      <c r="P75" s="173"/>
      <c r="Q75" s="174"/>
      <c r="R75" s="153">
        <v>30</v>
      </c>
      <c r="S75" s="154">
        <f>26+30+26.378</f>
        <v>82.378</v>
      </c>
      <c r="T75" s="184"/>
      <c r="U75" s="185"/>
      <c r="V75" s="29"/>
    </row>
    <row r="76" spans="1:24" ht="15.5" x14ac:dyDescent="0.35">
      <c r="A76" s="11" t="s">
        <v>66</v>
      </c>
      <c r="B76" s="35"/>
      <c r="C76" s="133">
        <v>1166810</v>
      </c>
      <c r="D76" s="133"/>
      <c r="E76" s="133"/>
      <c r="F76" s="133"/>
      <c r="G76" s="35" t="s">
        <v>171</v>
      </c>
      <c r="H76" s="35" t="s">
        <v>121</v>
      </c>
      <c r="I76" s="20">
        <f t="shared" si="17"/>
        <v>21.632990580283312</v>
      </c>
      <c r="J76" s="21">
        <f t="shared" si="18"/>
        <v>24.068000000000001</v>
      </c>
      <c r="K76" s="100">
        <f t="shared" si="19"/>
        <v>111.256</v>
      </c>
      <c r="L76" s="145">
        <f>+IFERROR(VLOOKUP(C76,'Nemlig Q3'!$A$2:$H$66,5,FALSE),0)</f>
        <v>24.068000000000001</v>
      </c>
      <c r="M76" s="145">
        <f>+IFERROR(VLOOKUP(C76,'Nemlig Q3'!$A$2:$H$66,8,FALSE),0)</f>
        <v>111.256</v>
      </c>
      <c r="N76" s="21" t="str">
        <f>+IFERROR(VLOOKUP(B76,'Hørkram Q3'!$B$6:$H$60,7,FALSE),"0")</f>
        <v>0</v>
      </c>
      <c r="O76" s="100" t="str">
        <f>+IFERROR(VLOOKUP(B76,'Hørkram Q3'!$B$6:$H$60,6,FALSE),"0")</f>
        <v>0</v>
      </c>
      <c r="P76" s="171"/>
      <c r="Q76" s="172"/>
      <c r="R76" s="153"/>
      <c r="S76" s="154"/>
      <c r="T76" s="184"/>
      <c r="U76" s="185"/>
      <c r="V76" s="28"/>
      <c r="W76" s="5"/>
      <c r="X76" s="5"/>
    </row>
    <row r="77" spans="1:24" ht="15.5" x14ac:dyDescent="0.35">
      <c r="A77" s="11" t="s">
        <v>9</v>
      </c>
      <c r="B77" s="35"/>
      <c r="C77" s="133">
        <v>1043650</v>
      </c>
      <c r="D77" s="133"/>
      <c r="E77" s="133"/>
      <c r="F77" s="133"/>
      <c r="G77" s="35" t="s">
        <v>170</v>
      </c>
      <c r="H77" s="35" t="s">
        <v>119</v>
      </c>
      <c r="I77" s="20">
        <f t="shared" si="17"/>
        <v>69.764269588915553</v>
      </c>
      <c r="J77" s="21">
        <f t="shared" si="18"/>
        <v>730.84699999999998</v>
      </c>
      <c r="K77" s="100">
        <f t="shared" si="19"/>
        <v>1047.595</v>
      </c>
      <c r="L77" s="145">
        <f>+IFERROR(VLOOKUP(C77,'Nemlig Q3'!$A$2:$H$66,5,FALSE),0)</f>
        <v>705.10699999999997</v>
      </c>
      <c r="M77" s="145">
        <f>+IFERROR(VLOOKUP(C77,'Nemlig Q3'!$A$2:$H$66,8,FALSE),0)</f>
        <v>1015.63</v>
      </c>
      <c r="N77" s="21" t="str">
        <f>+IFERROR(VLOOKUP(B77,'Hørkram Q3'!$B$6:$H$60,7,FALSE),"0")</f>
        <v>0</v>
      </c>
      <c r="O77" s="100" t="str">
        <f>+IFERROR(VLOOKUP(B77,'Hørkram Q3'!$B$6:$H$60,6,FALSE),"0")</f>
        <v>0</v>
      </c>
      <c r="P77" s="171"/>
      <c r="Q77" s="172"/>
      <c r="R77" s="158">
        <v>12.8</v>
      </c>
      <c r="S77" s="155">
        <v>13.02</v>
      </c>
      <c r="T77" s="184">
        <v>12.94</v>
      </c>
      <c r="U77" s="185">
        <v>18.945</v>
      </c>
      <c r="V77" s="28"/>
      <c r="W77" s="5"/>
      <c r="X77" s="5"/>
    </row>
    <row r="78" spans="1:24" ht="15.5" x14ac:dyDescent="0.35">
      <c r="A78" s="11" t="s">
        <v>89</v>
      </c>
      <c r="B78" s="35"/>
      <c r="C78" s="133"/>
      <c r="D78" s="133"/>
      <c r="E78" s="133"/>
      <c r="F78" s="133"/>
      <c r="G78" s="35"/>
      <c r="H78" s="35" t="s">
        <v>122</v>
      </c>
      <c r="I78" s="20" t="str">
        <f>IFERROR(((J78*100)/K78)," ")</f>
        <v xml:space="preserve"> </v>
      </c>
      <c r="J78" s="21">
        <f t="shared" si="18"/>
        <v>0</v>
      </c>
      <c r="K78" s="100">
        <f t="shared" si="19"/>
        <v>0</v>
      </c>
      <c r="L78" s="145">
        <f>+IFERROR(VLOOKUP(C78,'Nemlig Q3'!$A$2:$H$66,5,FALSE),0)</f>
        <v>0</v>
      </c>
      <c r="M78" s="145">
        <f>+IFERROR(VLOOKUP(C78,'Nemlig Q3'!$A$2:$H$66,8,FALSE),0)</f>
        <v>0</v>
      </c>
      <c r="N78" s="21" t="str">
        <f>+IFERROR(VLOOKUP(B78,'Hørkram Q3'!$B$6:$H$60,7,FALSE),"0")</f>
        <v>0</v>
      </c>
      <c r="O78" s="100" t="str">
        <f>+IFERROR(VLOOKUP(B78,'Hørkram Q3'!$B$6:$H$60,6,FALSE),"0")</f>
        <v>0</v>
      </c>
      <c r="P78" s="171"/>
      <c r="Q78" s="172"/>
      <c r="R78" s="156"/>
      <c r="S78" s="159"/>
      <c r="T78" s="21"/>
      <c r="U78" s="192"/>
      <c r="V78" s="29"/>
    </row>
    <row r="79" spans="1:24" ht="15.5" x14ac:dyDescent="0.35">
      <c r="A79" s="11" t="s">
        <v>11</v>
      </c>
      <c r="B79" s="35">
        <v>200138510</v>
      </c>
      <c r="C79" s="133"/>
      <c r="D79" s="133"/>
      <c r="E79" s="133"/>
      <c r="F79" s="133"/>
      <c r="G79" s="35" t="s">
        <v>170</v>
      </c>
      <c r="H79" s="35" t="s">
        <v>117</v>
      </c>
      <c r="I79" s="20">
        <f t="shared" si="17"/>
        <v>99.81280207924334</v>
      </c>
      <c r="J79" s="21">
        <f t="shared" si="18"/>
        <v>1149.0329999999999</v>
      </c>
      <c r="K79" s="100">
        <f t="shared" si="19"/>
        <v>1151.1880000000001</v>
      </c>
      <c r="L79" s="145">
        <f>+IFERROR(VLOOKUP(C79,'Nemlig Q3'!$A$2:$H$66,5,FALSE),0)</f>
        <v>0</v>
      </c>
      <c r="M79" s="145">
        <f>+IFERROR(VLOOKUP(C79,'Nemlig Q3'!$A$2:$H$66,8,FALSE),0)</f>
        <v>0</v>
      </c>
      <c r="N79" s="21">
        <f>+IFERROR(VLOOKUP(B79,'Hørkram Q3'!$B$6:$H$60,7,FALSE),"0")</f>
        <v>1149.0329999999999</v>
      </c>
      <c r="O79" s="100">
        <f>+IFERROR(VLOOKUP(B79,'Hørkram Q3'!$B$6:$H$60,6,FALSE),"0")</f>
        <v>1151.1880000000001</v>
      </c>
      <c r="P79" s="173"/>
      <c r="Q79" s="174"/>
      <c r="R79" s="153"/>
      <c r="S79" s="155"/>
      <c r="T79" s="184"/>
      <c r="U79" s="185"/>
      <c r="V79" s="28"/>
      <c r="W79" s="5"/>
      <c r="X79" s="5"/>
    </row>
    <row r="80" spans="1:24" ht="15.5" x14ac:dyDescent="0.35">
      <c r="A80" s="11" t="s">
        <v>96</v>
      </c>
      <c r="B80" s="35">
        <v>200041414</v>
      </c>
      <c r="C80" s="133"/>
      <c r="D80" s="133"/>
      <c r="E80" s="133"/>
      <c r="F80" s="133"/>
      <c r="G80" s="35" t="s">
        <v>170</v>
      </c>
      <c r="H80" s="35" t="s">
        <v>117</v>
      </c>
      <c r="I80" s="20">
        <f t="shared" si="17"/>
        <v>89.3163991238888</v>
      </c>
      <c r="J80" s="21">
        <f t="shared" si="18"/>
        <v>1571.606</v>
      </c>
      <c r="K80" s="100">
        <f t="shared" si="19"/>
        <v>1759.5940000000001</v>
      </c>
      <c r="L80" s="145">
        <f>+IFERROR(VLOOKUP(C80,'Nemlig Q3'!$A$2:$H$66,5,FALSE),0)</f>
        <v>0</v>
      </c>
      <c r="M80" s="145">
        <f>+IFERROR(VLOOKUP(C80,'Nemlig Q3'!$A$2:$H$66,8,FALSE),0)</f>
        <v>0</v>
      </c>
      <c r="N80" s="21">
        <f>+IFERROR(VLOOKUP(B80,'Hørkram Q3'!$B$6:$H$60,7,FALSE),"0")</f>
        <v>1571.606</v>
      </c>
      <c r="O80" s="100">
        <f>+IFERROR(VLOOKUP(B80,'Hørkram Q3'!$B$6:$H$60,6,FALSE),"0")</f>
        <v>1738.634</v>
      </c>
      <c r="P80" s="173"/>
      <c r="Q80" s="174"/>
      <c r="R80" s="158"/>
      <c r="S80" s="160">
        <v>20.96</v>
      </c>
      <c r="T80" s="184"/>
      <c r="U80" s="185"/>
      <c r="V80" s="28"/>
      <c r="W80" s="5"/>
      <c r="X80" s="5"/>
    </row>
    <row r="81" spans="1:38" ht="15.5" x14ac:dyDescent="0.35">
      <c r="A81" s="11" t="s">
        <v>10</v>
      </c>
      <c r="B81" s="35"/>
      <c r="C81" s="133">
        <v>2174467</v>
      </c>
      <c r="D81" s="133">
        <v>2172346</v>
      </c>
      <c r="E81" s="133">
        <v>2165538</v>
      </c>
      <c r="F81" s="133"/>
      <c r="G81" s="35" t="s">
        <v>170</v>
      </c>
      <c r="H81" s="35" t="s">
        <v>122</v>
      </c>
      <c r="I81" s="20">
        <f t="shared" si="17"/>
        <v>24.245807781664443</v>
      </c>
      <c r="J81" s="21">
        <f t="shared" si="18"/>
        <v>166.768</v>
      </c>
      <c r="K81" s="100">
        <f t="shared" si="19"/>
        <v>687.822</v>
      </c>
      <c r="L81" s="145">
        <f>+IFERROR(VLOOKUP(C81,'Nemlig Q3'!$A$2:$H$66,5,FALSE),0)</f>
        <v>166.768</v>
      </c>
      <c r="M81" s="145">
        <f>+IFERROR(VLOOKUP(C81,'Nemlig Q3'!$A$2:$H$66,8,FALSE),0)</f>
        <v>675.822</v>
      </c>
      <c r="N81" s="21" t="str">
        <f>+IFERROR(VLOOKUP(B81,'Hørkram Q3'!$B$6:$H$60,7,FALSE),"0")</f>
        <v>0</v>
      </c>
      <c r="O81" s="100" t="str">
        <f>+IFERROR(VLOOKUP(B81,'Hørkram Q3'!$B$6:$H$60,6,FALSE),"0")</f>
        <v>0</v>
      </c>
      <c r="P81" s="173"/>
      <c r="Q81" s="174"/>
      <c r="R81" s="158"/>
      <c r="S81" s="155">
        <v>12</v>
      </c>
      <c r="T81" s="184"/>
      <c r="U81" s="185"/>
      <c r="V81" s="28"/>
      <c r="W81" s="5"/>
      <c r="X81" s="5"/>
    </row>
    <row r="82" spans="1:38" ht="15.5" x14ac:dyDescent="0.35">
      <c r="A82" s="11" t="s">
        <v>17</v>
      </c>
      <c r="B82" s="35">
        <v>200137940</v>
      </c>
      <c r="C82" s="133"/>
      <c r="D82" s="133"/>
      <c r="E82" s="133"/>
      <c r="F82" s="133"/>
      <c r="G82" s="35" t="s">
        <v>170</v>
      </c>
      <c r="H82" s="35" t="s">
        <v>117</v>
      </c>
      <c r="I82" s="20">
        <f t="shared" si="17"/>
        <v>92.694057947290887</v>
      </c>
      <c r="J82" s="21">
        <f t="shared" si="18"/>
        <v>1415.67</v>
      </c>
      <c r="K82" s="100">
        <f t="shared" si="19"/>
        <v>1527.25</v>
      </c>
      <c r="L82" s="145">
        <f>+IFERROR(VLOOKUP(C82,'Nemlig Q3'!$A$2:$H$66,5,FALSE),0)</f>
        <v>0</v>
      </c>
      <c r="M82" s="145">
        <f>+IFERROR(VLOOKUP(C82,'Nemlig Q3'!$A$2:$H$66,8,FALSE),0)</f>
        <v>0</v>
      </c>
      <c r="N82" s="21">
        <f>+IFERROR(VLOOKUP(B82,'Hørkram Q3'!$B$6:$H$60,7,FALSE),"0")</f>
        <v>1407.67</v>
      </c>
      <c r="O82" s="100">
        <f>+IFERROR(VLOOKUP(B82,'Hørkram Q3'!$B$6:$H$60,6,FALSE),"0")</f>
        <v>1519.25</v>
      </c>
      <c r="P82" s="173"/>
      <c r="Q82" s="174"/>
      <c r="R82" s="158">
        <v>8</v>
      </c>
      <c r="S82" s="160">
        <v>8</v>
      </c>
      <c r="T82" s="184"/>
      <c r="U82" s="185"/>
      <c r="V82" s="29"/>
    </row>
    <row r="83" spans="1:38" x14ac:dyDescent="0.35">
      <c r="A83" s="11" t="s">
        <v>67</v>
      </c>
      <c r="B83" s="35"/>
      <c r="C83" s="133"/>
      <c r="D83" s="133"/>
      <c r="E83" s="133"/>
      <c r="F83" s="133"/>
      <c r="G83" s="35" t="s">
        <v>171</v>
      </c>
      <c r="H83" s="35" t="s">
        <v>122</v>
      </c>
      <c r="I83" s="20" t="str">
        <f>IFERROR(((J83*100)/K83)," ")</f>
        <v xml:space="preserve"> </v>
      </c>
      <c r="J83" s="21">
        <f t="shared" si="18"/>
        <v>0</v>
      </c>
      <c r="K83" s="100">
        <f t="shared" si="19"/>
        <v>0</v>
      </c>
      <c r="L83" s="145">
        <f>+IFERROR(VLOOKUP(C83,'Nemlig Q3'!$A$2:$H$66,5,FALSE),0)</f>
        <v>0</v>
      </c>
      <c r="M83" s="145">
        <f>+IFERROR(VLOOKUP(C83,'Nemlig Q3'!$A$2:$H$66,8,FALSE),0)</f>
        <v>0</v>
      </c>
      <c r="N83" s="21" t="str">
        <f>+IFERROR(VLOOKUP(B83,'Hørkram Q3'!$B$6:$H$60,7,FALSE),"0")</f>
        <v>0</v>
      </c>
      <c r="O83" s="100" t="str">
        <f>+IFERROR(VLOOKUP(B83,'Hørkram Q3'!$B$6:$H$60,6,FALSE),"0")</f>
        <v>0</v>
      </c>
      <c r="P83" s="173"/>
      <c r="Q83" s="174"/>
      <c r="R83" s="156"/>
      <c r="S83" s="159"/>
      <c r="T83" s="193"/>
      <c r="U83" s="185"/>
      <c r="V83" s="29"/>
    </row>
    <row r="84" spans="1:38" ht="15.5" x14ac:dyDescent="0.35">
      <c r="A84" s="11" t="s">
        <v>73</v>
      </c>
      <c r="B84" s="35"/>
      <c r="C84" s="133">
        <v>1611791</v>
      </c>
      <c r="D84" s="133"/>
      <c r="E84" s="133"/>
      <c r="F84" s="133"/>
      <c r="G84" s="35" t="s">
        <v>171</v>
      </c>
      <c r="H84" s="35" t="s">
        <v>117</v>
      </c>
      <c r="I84" s="20" t="str">
        <f>IFERROR(((J84*100)/K84)," ")</f>
        <v xml:space="preserve"> </v>
      </c>
      <c r="J84" s="21">
        <f t="shared" si="18"/>
        <v>0</v>
      </c>
      <c r="K84" s="100">
        <f t="shared" si="19"/>
        <v>0</v>
      </c>
      <c r="L84" s="145">
        <f>+IFERROR(VLOOKUP(C84,'Nemlig Q3'!$A$2:$H$66,5,FALSE),0)</f>
        <v>0</v>
      </c>
      <c r="M84" s="145">
        <f>+IFERROR(VLOOKUP(C84,'Nemlig Q3'!$A$2:$H$66,8,FALSE),0)</f>
        <v>0</v>
      </c>
      <c r="N84" s="21" t="str">
        <f>+IFERROR(VLOOKUP(B84,'Hørkram Q3'!$B$6:$H$60,7,FALSE),"0")</f>
        <v>0</v>
      </c>
      <c r="O84" s="100" t="str">
        <f>+IFERROR(VLOOKUP(B84,'Hørkram Q3'!$B$6:$H$60,6,FALSE),"0")</f>
        <v>0</v>
      </c>
      <c r="P84" s="173"/>
      <c r="Q84" s="174"/>
      <c r="R84" s="158"/>
      <c r="S84" s="155"/>
      <c r="T84" s="184"/>
      <c r="U84" s="185"/>
      <c r="V84" s="32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ht="15.5" x14ac:dyDescent="0.35">
      <c r="A85" s="11" t="s">
        <v>37</v>
      </c>
      <c r="B85" s="35" t="s">
        <v>106</v>
      </c>
      <c r="C85" s="133"/>
      <c r="D85" s="133"/>
      <c r="E85" s="133"/>
      <c r="F85" s="133"/>
      <c r="G85" s="35" t="s">
        <v>170</v>
      </c>
      <c r="H85" s="35" t="s">
        <v>123</v>
      </c>
      <c r="I85" s="20">
        <f t="shared" si="17"/>
        <v>73.394608586201784</v>
      </c>
      <c r="J85" s="21">
        <f>+L85+N85+P85+R85+T85</f>
        <v>7020.6200000000008</v>
      </c>
      <c r="K85" s="100">
        <f>+M85+O85+Q85+S85+U85</f>
        <v>9565.58</v>
      </c>
      <c r="L85" s="145">
        <f>+IFERROR(VLOOKUP(C85,'Nemlig Q3'!$A$2:$H$66,5,FALSE),0)</f>
        <v>0</v>
      </c>
      <c r="M85" s="145">
        <f>+IFERROR(VLOOKUP(C85,'Nemlig Q3'!$A$2:$H$66,8,FALSE),0)</f>
        <v>0</v>
      </c>
      <c r="N85" s="21">
        <f>+'Hørkram Q3'!H29+'Hørkram Q3'!H49</f>
        <v>6768.6200000000008</v>
      </c>
      <c r="O85" s="100">
        <f>+'Hørkram Q3'!G29+'Hørkram Q3'!G49</f>
        <v>8985.6679999999997</v>
      </c>
      <c r="P85" s="171">
        <v>2</v>
      </c>
      <c r="Q85" s="179">
        <f>26.2+20.28+13.65+178.782</f>
        <v>238.91200000000001</v>
      </c>
      <c r="R85" s="158">
        <v>250</v>
      </c>
      <c r="S85" s="155">
        <v>341</v>
      </c>
      <c r="T85" s="184"/>
      <c r="U85" s="185"/>
    </row>
    <row r="86" spans="1:38" ht="15.5" x14ac:dyDescent="0.35">
      <c r="A86" s="11" t="s">
        <v>111</v>
      </c>
      <c r="B86" s="35">
        <v>200031637</v>
      </c>
      <c r="C86" s="133"/>
      <c r="D86" s="133"/>
      <c r="E86" s="133"/>
      <c r="F86" s="133"/>
      <c r="G86" s="35" t="s">
        <v>171</v>
      </c>
      <c r="H86" s="35" t="s">
        <v>124</v>
      </c>
      <c r="I86" s="20">
        <f t="shared" si="17"/>
        <v>12.556234415033547</v>
      </c>
      <c r="J86" s="21">
        <f t="shared" si="18"/>
        <v>73.265000000000001</v>
      </c>
      <c r="K86" s="100">
        <f t="shared" si="19"/>
        <v>583.495</v>
      </c>
      <c r="L86" s="145">
        <f>+IFERROR(VLOOKUP(C86,'Nemlig Q3'!$A$2:$H$66,5,FALSE),0)</f>
        <v>0</v>
      </c>
      <c r="M86" s="145">
        <f>+IFERROR(VLOOKUP(C86,'Nemlig Q3'!$A$2:$H$66,8,FALSE),0)</f>
        <v>0</v>
      </c>
      <c r="N86" s="21">
        <f>+IFERROR(VLOOKUP(B86,'Hørkram Q3'!$B$6:$H$60,7,FALSE),"0")</f>
        <v>73.265000000000001</v>
      </c>
      <c r="O86" s="100">
        <f>+IFERROR(VLOOKUP(B86,'Hørkram Q3'!$B$6:$H$60,6,FALSE),"0")</f>
        <v>557.33500000000004</v>
      </c>
      <c r="P86" s="175"/>
      <c r="Q86" s="172"/>
      <c r="R86" s="158"/>
      <c r="S86" s="155">
        <v>26.16</v>
      </c>
      <c r="T86" s="184"/>
      <c r="U86" s="185"/>
      <c r="V86" s="102"/>
      <c r="W86" s="116"/>
      <c r="X86" s="116"/>
    </row>
    <row r="87" spans="1:38" ht="15.5" x14ac:dyDescent="0.35">
      <c r="A87" s="11" t="s">
        <v>81</v>
      </c>
      <c r="B87" s="35"/>
      <c r="C87" s="133">
        <v>1383843</v>
      </c>
      <c r="D87" s="133"/>
      <c r="E87" s="133"/>
      <c r="F87" s="133"/>
      <c r="G87" s="35" t="s">
        <v>171</v>
      </c>
      <c r="H87" s="35" t="s">
        <v>119</v>
      </c>
      <c r="I87" s="20" t="str">
        <f>IFERROR(((J87*100)/K87)," ")</f>
        <v xml:space="preserve"> </v>
      </c>
      <c r="J87" s="21">
        <f t="shared" si="18"/>
        <v>0</v>
      </c>
      <c r="K87" s="100">
        <f t="shared" si="19"/>
        <v>0</v>
      </c>
      <c r="L87" s="145">
        <f>+IFERROR(VLOOKUP(C87,'Nemlig Q3'!$A$2:$H$66,5,FALSE),0)</f>
        <v>0</v>
      </c>
      <c r="M87" s="145">
        <f>+IFERROR(VLOOKUP(C87,'Nemlig Q3'!$A$2:$H$66,8,FALSE),0)</f>
        <v>0</v>
      </c>
      <c r="N87" s="21" t="str">
        <f>+IFERROR(VLOOKUP(B87,'Hørkram Q3'!$B$6:$H$60,7,FALSE),"0")</f>
        <v>0</v>
      </c>
      <c r="O87" s="100" t="str">
        <f>+IFERROR(VLOOKUP(B87,'Hørkram Q3'!$B$6:$H$60,6,FALSE),"0")</f>
        <v>0</v>
      </c>
      <c r="P87" s="171"/>
      <c r="Q87" s="172"/>
      <c r="R87" s="156"/>
      <c r="S87" s="157"/>
      <c r="T87" s="194"/>
      <c r="U87" s="185"/>
      <c r="V87" s="102"/>
      <c r="W87" s="116"/>
      <c r="X87" s="116"/>
    </row>
    <row r="88" spans="1:38" ht="15.5" x14ac:dyDescent="0.35">
      <c r="A88" s="11" t="s">
        <v>16</v>
      </c>
      <c r="B88" s="35">
        <v>200536200</v>
      </c>
      <c r="C88" s="133"/>
      <c r="D88" s="133"/>
      <c r="E88" s="133"/>
      <c r="F88" s="133"/>
      <c r="G88" s="35" t="s">
        <v>170</v>
      </c>
      <c r="H88" s="35" t="s">
        <v>122</v>
      </c>
      <c r="I88" s="20">
        <f t="shared" si="17"/>
        <v>59.724534651475928</v>
      </c>
      <c r="J88" s="21">
        <f t="shared" si="18"/>
        <v>945.21900000000005</v>
      </c>
      <c r="K88" s="100">
        <f t="shared" si="19"/>
        <v>1582.6310000000001</v>
      </c>
      <c r="L88" s="145">
        <f>+IFERROR(VLOOKUP(C88,'Nemlig Q3'!$A$2:$H$66,5,FALSE),0)</f>
        <v>0</v>
      </c>
      <c r="M88" s="145">
        <f>+IFERROR(VLOOKUP(C88,'Nemlig Q3'!$A$2:$H$66,8,FALSE),0)</f>
        <v>0</v>
      </c>
      <c r="N88" s="21">
        <f>+IFERROR(VLOOKUP(B88,'Hørkram Q3'!$B$6:$H$60,7,FALSE),"0")</f>
        <v>920.01900000000001</v>
      </c>
      <c r="O88" s="100">
        <f>+IFERROR(VLOOKUP(B88,'Hørkram Q3'!$B$6:$H$60,6,FALSE),"0")</f>
        <v>1551.1310000000001</v>
      </c>
      <c r="P88" s="176"/>
      <c r="Q88" s="177"/>
      <c r="R88" s="158">
        <v>25.2</v>
      </c>
      <c r="S88" s="155">
        <v>31.5</v>
      </c>
      <c r="T88" s="184"/>
      <c r="U88" s="185"/>
      <c r="V88" s="102"/>
      <c r="W88" s="116"/>
      <c r="X88" s="116"/>
    </row>
    <row r="89" spans="1:38" ht="15.5" x14ac:dyDescent="0.35">
      <c r="A89" s="11" t="s">
        <v>64</v>
      </c>
      <c r="B89" s="35"/>
      <c r="C89" s="133">
        <v>1365582</v>
      </c>
      <c r="D89" s="133"/>
      <c r="E89" s="133"/>
      <c r="F89" s="133"/>
      <c r="G89" s="35" t="s">
        <v>171</v>
      </c>
      <c r="H89" s="35" t="s">
        <v>118</v>
      </c>
      <c r="I89" s="20" t="str">
        <f>IFERROR(((J89*100)/K89)," ")</f>
        <v xml:space="preserve"> </v>
      </c>
      <c r="J89" s="21">
        <f t="shared" si="18"/>
        <v>0</v>
      </c>
      <c r="K89" s="100">
        <f t="shared" si="19"/>
        <v>0</v>
      </c>
      <c r="L89" s="145">
        <f>+IFERROR(VLOOKUP(C89,'Nemlig Q3'!$A$2:$H$66,5,FALSE),0)</f>
        <v>0</v>
      </c>
      <c r="M89" s="145">
        <f>+IFERROR(VLOOKUP(C89,'Nemlig Q3'!$A$2:$H$66,8,FALSE),0)</f>
        <v>0</v>
      </c>
      <c r="N89" s="21" t="str">
        <f>+IFERROR(VLOOKUP(B89,'Hørkram Q3'!$B$6:$H$60,7,FALSE),"0")</f>
        <v>0</v>
      </c>
      <c r="O89" s="100" t="str">
        <f>+IFERROR(VLOOKUP(B89,'Hørkram Q3'!$B$6:$H$60,6,FALSE),"0")</f>
        <v>0</v>
      </c>
      <c r="P89" s="175"/>
      <c r="Q89" s="178"/>
      <c r="R89" s="156"/>
      <c r="S89" s="159"/>
      <c r="T89" s="184"/>
      <c r="U89" s="185"/>
      <c r="V89" s="102"/>
      <c r="W89" s="116"/>
      <c r="X89" s="116"/>
    </row>
    <row r="90" spans="1:38" ht="15.5" x14ac:dyDescent="0.35">
      <c r="A90" s="11" t="s">
        <v>217</v>
      </c>
      <c r="B90" s="35">
        <v>200021706</v>
      </c>
      <c r="C90" s="133"/>
      <c r="D90" s="133"/>
      <c r="E90" s="133"/>
      <c r="F90" s="133"/>
      <c r="G90" s="35" t="s">
        <v>170</v>
      </c>
      <c r="H90" s="35" t="s">
        <v>117</v>
      </c>
      <c r="I90" s="20">
        <f t="shared" si="17"/>
        <v>95.130216265610713</v>
      </c>
      <c r="J90" s="21">
        <f t="shared" si="18"/>
        <v>1399.16</v>
      </c>
      <c r="K90" s="100">
        <f t="shared" si="19"/>
        <v>1470.7840000000001</v>
      </c>
      <c r="L90" s="145">
        <f>+IFERROR(VLOOKUP(C90,'Nemlig Q3'!$A$2:$H$66,5,FALSE),0)</f>
        <v>0</v>
      </c>
      <c r="M90" s="145">
        <f>+IFERROR(VLOOKUP(C90,'Nemlig Q3'!$A$2:$H$66,8,FALSE),0)</f>
        <v>0</v>
      </c>
      <c r="N90" s="21">
        <f>+IFERROR(VLOOKUP(B90,'Hørkram Q3'!$B$6:$H$60,7,FALSE),"0")</f>
        <v>1389.16</v>
      </c>
      <c r="O90" s="100">
        <f>+IFERROR(VLOOKUP(B90,'Hørkram Q3'!$B$6:$H$60,6,FALSE),"0")</f>
        <v>1460.7840000000001</v>
      </c>
      <c r="P90" s="171"/>
      <c r="Q90" s="172"/>
      <c r="R90" s="158">
        <v>10</v>
      </c>
      <c r="S90" s="155">
        <v>10</v>
      </c>
      <c r="T90" s="184"/>
      <c r="U90" s="185"/>
      <c r="V90" s="102"/>
      <c r="W90" s="116"/>
      <c r="X90" s="116"/>
    </row>
    <row r="91" spans="1:38" ht="15.5" x14ac:dyDescent="0.35">
      <c r="A91" s="11" t="s">
        <v>27</v>
      </c>
      <c r="B91" s="35"/>
      <c r="C91" s="133">
        <v>2164335</v>
      </c>
      <c r="D91" s="133">
        <v>2223363</v>
      </c>
      <c r="E91" s="133"/>
      <c r="F91" s="133"/>
      <c r="G91" s="35"/>
      <c r="H91" s="35" t="s">
        <v>118</v>
      </c>
      <c r="I91" s="20">
        <f t="shared" si="17"/>
        <v>1.8141778523489935</v>
      </c>
      <c r="J91" s="21">
        <f t="shared" si="18"/>
        <v>4.6710000000000003</v>
      </c>
      <c r="K91" s="100">
        <f t="shared" si="19"/>
        <v>257.47199999999998</v>
      </c>
      <c r="L91" s="145">
        <f>+IFERROR(VLOOKUP(C91,'Nemlig Q3'!$A$2:$H$66,5,FALSE),0)</f>
        <v>4.6710000000000003</v>
      </c>
      <c r="M91" s="145">
        <f>+IFERROR(VLOOKUP(C91,'Nemlig Q3'!$A$2:$H$66,8,FALSE),0)</f>
        <v>257.47199999999998</v>
      </c>
      <c r="N91" s="21" t="str">
        <f>+IFERROR(VLOOKUP(B91,'Hørkram Q3'!$B$6:$H$60,7,FALSE),"0")</f>
        <v>0</v>
      </c>
      <c r="O91" s="100" t="str">
        <f>+IFERROR(VLOOKUP(B91,'Hørkram Q3'!$B$6:$H$60,6,FALSE),"0")</f>
        <v>0</v>
      </c>
      <c r="P91" s="171"/>
      <c r="Q91" s="172"/>
      <c r="R91" s="156"/>
      <c r="S91" s="157"/>
      <c r="T91" s="184"/>
      <c r="U91" s="185"/>
      <c r="V91" s="102"/>
      <c r="W91" s="116"/>
      <c r="X91" s="116"/>
    </row>
    <row r="92" spans="1:38" x14ac:dyDescent="0.25">
      <c r="A92" s="11" t="s">
        <v>69</v>
      </c>
      <c r="B92" s="35">
        <v>200166322</v>
      </c>
      <c r="C92" s="133">
        <v>2161308</v>
      </c>
      <c r="D92" s="133"/>
      <c r="E92" s="133"/>
      <c r="F92" s="133"/>
      <c r="G92" s="35" t="s">
        <v>171</v>
      </c>
      <c r="H92" s="35" t="s">
        <v>121</v>
      </c>
      <c r="I92" s="20">
        <f t="shared" si="17"/>
        <v>9.8604152311707089</v>
      </c>
      <c r="J92" s="21">
        <f t="shared" si="18"/>
        <v>31.626000000000001</v>
      </c>
      <c r="K92" s="100">
        <f t="shared" si="19"/>
        <v>320.73700000000002</v>
      </c>
      <c r="L92" s="145">
        <f>+IFERROR(VLOOKUP(C92,'Nemlig Q3'!$A$2:$H$66,5,FALSE),0)</f>
        <v>31.626000000000001</v>
      </c>
      <c r="M92" s="145">
        <f>+IFERROR(VLOOKUP(C92,'Nemlig Q3'!$A$2:$H$66,8,FALSE),0)</f>
        <v>320.73700000000002</v>
      </c>
      <c r="N92" s="21" t="str">
        <f>+IFERROR(VLOOKUP(B92,'Hørkram Q3'!$B$6:$H$60,7,FALSE),"0")</f>
        <v>0</v>
      </c>
      <c r="O92" s="100" t="str">
        <f>+IFERROR(VLOOKUP(B92,'Hørkram Q3'!$B$6:$H$60,6,FALSE),"0")</f>
        <v>0</v>
      </c>
      <c r="P92" s="173"/>
      <c r="Q92" s="174"/>
      <c r="R92" s="156"/>
      <c r="S92" s="157"/>
      <c r="T92" s="184"/>
      <c r="U92" s="185"/>
      <c r="V92" s="102"/>
      <c r="W92" s="116"/>
      <c r="X92" s="116"/>
    </row>
    <row r="93" spans="1:38" ht="15.5" x14ac:dyDescent="0.35">
      <c r="A93" s="11" t="s">
        <v>72</v>
      </c>
      <c r="B93" s="35"/>
      <c r="C93" s="133">
        <v>2214784</v>
      </c>
      <c r="D93" s="133"/>
      <c r="E93" s="133"/>
      <c r="F93" s="133"/>
      <c r="G93" s="35" t="s">
        <v>171</v>
      </c>
      <c r="H93" s="35" t="s">
        <v>124</v>
      </c>
      <c r="I93" s="20">
        <f t="shared" si="17"/>
        <v>14.102199086369914</v>
      </c>
      <c r="J93" s="21">
        <f t="shared" si="18"/>
        <v>33.186</v>
      </c>
      <c r="K93" s="100">
        <f t="shared" si="19"/>
        <v>235.32499999999999</v>
      </c>
      <c r="L93" s="145">
        <f>+IFERROR(VLOOKUP(C93,'Nemlig Q3'!$A$2:$H$66,5,FALSE),0)</f>
        <v>33.186</v>
      </c>
      <c r="M93" s="145">
        <f>+IFERROR(VLOOKUP(C93,'Nemlig Q3'!$A$2:$H$66,8,FALSE),0)</f>
        <v>138.32499999999999</v>
      </c>
      <c r="N93" s="21" t="str">
        <f>+IFERROR(VLOOKUP(B93,'Hørkram Q3'!$B$6:$H$60,7,FALSE),"0")</f>
        <v>0</v>
      </c>
      <c r="O93" s="100" t="str">
        <f>+IFERROR(VLOOKUP(B93,'Hørkram Q3'!$B$6:$H$60,6,FALSE),"0")</f>
        <v>0</v>
      </c>
      <c r="P93" s="171"/>
      <c r="Q93" s="172"/>
      <c r="R93" s="156"/>
      <c r="S93" s="157">
        <v>97</v>
      </c>
      <c r="T93" s="184"/>
      <c r="U93" s="185"/>
      <c r="V93" s="102"/>
      <c r="W93" s="116"/>
      <c r="X93" s="116"/>
    </row>
    <row r="94" spans="1:38" ht="15.5" x14ac:dyDescent="0.35">
      <c r="A94" s="11" t="s">
        <v>45</v>
      </c>
      <c r="B94" s="35"/>
      <c r="C94" s="133">
        <v>1613144</v>
      </c>
      <c r="D94" s="133"/>
      <c r="E94" s="133"/>
      <c r="F94" s="133"/>
      <c r="G94" s="35" t="s">
        <v>171</v>
      </c>
      <c r="H94" s="35" t="s">
        <v>124</v>
      </c>
      <c r="I94" s="20">
        <f>IFERROR(((J94*100)/K94)," ")</f>
        <v>100</v>
      </c>
      <c r="J94" s="21">
        <f t="shared" si="18"/>
        <v>10</v>
      </c>
      <c r="K94" s="100">
        <f t="shared" si="19"/>
        <v>10</v>
      </c>
      <c r="L94" s="145">
        <f>+IFERROR(VLOOKUP(C94,'Nemlig Q3'!$A$2:$H$66,5,FALSE),0)</f>
        <v>0</v>
      </c>
      <c r="M94" s="145">
        <f>+IFERROR(VLOOKUP(C94,'Nemlig Q3'!$A$2:$H$66,8,FALSE),0)</f>
        <v>0</v>
      </c>
      <c r="N94" s="21" t="str">
        <f>+IFERROR(VLOOKUP(B94,'Hørkram Q3'!$B$6:$H$60,7,FALSE),"0")</f>
        <v>0</v>
      </c>
      <c r="O94" s="100" t="str">
        <f>+IFERROR(VLOOKUP(B94,'Hørkram Q3'!$B$6:$H$60,6,FALSE),"0")</f>
        <v>0</v>
      </c>
      <c r="P94" s="173"/>
      <c r="Q94" s="174"/>
      <c r="R94" s="158">
        <v>10</v>
      </c>
      <c r="S94" s="160">
        <v>10</v>
      </c>
      <c r="T94" s="184"/>
      <c r="U94" s="185"/>
      <c r="V94" s="102"/>
      <c r="W94" s="116"/>
      <c r="X94" s="116"/>
    </row>
    <row r="95" spans="1:38" ht="15.5" x14ac:dyDescent="0.35">
      <c r="A95" s="11" t="s">
        <v>222</v>
      </c>
      <c r="B95" s="35">
        <v>200012124</v>
      </c>
      <c r="C95" s="133">
        <v>1232086</v>
      </c>
      <c r="D95" s="133"/>
      <c r="E95" s="133"/>
      <c r="F95" s="133"/>
      <c r="G95" s="35" t="s">
        <v>170</v>
      </c>
      <c r="H95" s="35" t="s">
        <v>117</v>
      </c>
      <c r="I95" s="20">
        <f t="shared" si="17"/>
        <v>95.147902133201768</v>
      </c>
      <c r="J95" s="21">
        <f t="shared" si="18"/>
        <v>2657.7339999999999</v>
      </c>
      <c r="K95" s="100">
        <f t="shared" si="19"/>
        <v>2793.2660000000001</v>
      </c>
      <c r="L95" s="145">
        <f>+IFERROR(VLOOKUP(C95,'Nemlig Q3'!$A$2:$H$66,5,FALSE),0)</f>
        <v>1.5760000000000001</v>
      </c>
      <c r="M95" s="145">
        <f>+IFERROR(VLOOKUP(C95,'Nemlig Q3'!$A$2:$H$66,8,FALSE),0)</f>
        <v>2.6480000000000001</v>
      </c>
      <c r="N95" s="21">
        <f>+IFERROR(VLOOKUP(B95,'Hørkram Q3'!$B$6:$H$60,7,FALSE),"0")</f>
        <v>2652.558</v>
      </c>
      <c r="O95" s="100">
        <f>+IFERROR(VLOOKUP(B95,'Hørkram Q3'!$B$6:$H$60,6,FALSE),"0")</f>
        <v>2786.6579999999999</v>
      </c>
      <c r="P95" s="175"/>
      <c r="Q95" s="172"/>
      <c r="R95" s="158">
        <v>3.6</v>
      </c>
      <c r="S95" s="155">
        <v>3.96</v>
      </c>
      <c r="T95" s="184"/>
      <c r="U95" s="185"/>
      <c r="V95" s="102"/>
      <c r="W95" s="116"/>
      <c r="X95" s="116"/>
    </row>
    <row r="96" spans="1:38" ht="15.5" x14ac:dyDescent="0.35">
      <c r="A96" s="11" t="s">
        <v>177</v>
      </c>
      <c r="B96" s="35"/>
      <c r="C96" s="133">
        <v>1136302</v>
      </c>
      <c r="D96" s="133"/>
      <c r="E96" s="133"/>
      <c r="F96" s="133"/>
      <c r="G96" s="35"/>
      <c r="H96" s="35" t="s">
        <v>118</v>
      </c>
      <c r="I96" s="20">
        <f t="shared" si="17"/>
        <v>31.796599959651868</v>
      </c>
      <c r="J96" s="21">
        <f t="shared" si="18"/>
        <v>111.904</v>
      </c>
      <c r="K96" s="100">
        <f t="shared" si="19"/>
        <v>351.93700000000001</v>
      </c>
      <c r="L96" s="145">
        <f>+IFERROR(VLOOKUP(C96,'Nemlig Q3'!$A$2:$H$66,5,FALSE),0)</f>
        <v>111.904</v>
      </c>
      <c r="M96" s="145">
        <f>+IFERROR(VLOOKUP(C96,'Nemlig Q3'!$A$2:$H$66,8,FALSE),0)</f>
        <v>351.93700000000001</v>
      </c>
      <c r="N96" s="21" t="str">
        <f>+IFERROR(VLOOKUP(B96,'Hørkram Q3'!$B$6:$H$60,7,FALSE),"0")</f>
        <v>0</v>
      </c>
      <c r="O96" s="100" t="str">
        <f>+IFERROR(VLOOKUP(B96,'Hørkram Q3'!$B$6:$H$60,6,FALSE),"0")</f>
        <v>0</v>
      </c>
      <c r="P96" s="171"/>
      <c r="Q96" s="172"/>
      <c r="R96" s="156"/>
      <c r="S96" s="157"/>
      <c r="T96" s="184"/>
      <c r="U96" s="185"/>
      <c r="V96" s="102"/>
      <c r="W96" s="116"/>
      <c r="X96" s="116"/>
    </row>
    <row r="97" spans="1:38" ht="15.5" x14ac:dyDescent="0.35">
      <c r="A97" s="11" t="s">
        <v>256</v>
      </c>
      <c r="B97" s="35">
        <v>200031620</v>
      </c>
      <c r="C97" s="133">
        <v>2361189</v>
      </c>
      <c r="D97" s="133"/>
      <c r="E97" s="133"/>
      <c r="F97" s="133"/>
      <c r="G97" s="35" t="s">
        <v>170</v>
      </c>
      <c r="H97" s="35" t="s">
        <v>120</v>
      </c>
      <c r="I97" s="20">
        <f t="shared" si="17"/>
        <v>91.892944718810568</v>
      </c>
      <c r="J97" s="21">
        <f t="shared" si="18"/>
        <v>776.10300000000007</v>
      </c>
      <c r="K97" s="100">
        <f t="shared" si="19"/>
        <v>844.57300000000009</v>
      </c>
      <c r="L97" s="145">
        <f>+IFERROR(VLOOKUP(C97,'Nemlig Q3'!$A$2:$H$66,5,FALSE),0)</f>
        <v>9.24</v>
      </c>
      <c r="M97" s="145">
        <f>+IFERROR(VLOOKUP(C97,'Nemlig Q3'!$A$2:$H$66,8,FALSE),0)</f>
        <v>54.963999999999999</v>
      </c>
      <c r="N97" s="21">
        <f>+IFERROR(VLOOKUP(B97,'Hørkram Q3'!$B$6:$H$60,7,FALSE),"0")</f>
        <v>766.86300000000006</v>
      </c>
      <c r="O97" s="100">
        <f>+IFERROR(VLOOKUP(B97,'Hørkram Q3'!$B$6:$H$60,6,FALSE),"0")</f>
        <v>789.60900000000004</v>
      </c>
      <c r="P97" s="171"/>
      <c r="Q97" s="172"/>
      <c r="R97" s="156"/>
      <c r="S97" s="157"/>
      <c r="T97" s="21"/>
      <c r="U97" s="157"/>
      <c r="V97" s="102"/>
      <c r="W97" s="116"/>
      <c r="X97" s="116"/>
    </row>
    <row r="98" spans="1:38" ht="15.5" x14ac:dyDescent="0.35">
      <c r="A98" s="11" t="s">
        <v>207</v>
      </c>
      <c r="B98" s="35"/>
      <c r="C98" s="133">
        <v>1098703</v>
      </c>
      <c r="D98" s="133"/>
      <c r="E98" s="133"/>
      <c r="F98" s="133"/>
      <c r="G98" s="35" t="s">
        <v>171</v>
      </c>
      <c r="H98" s="35" t="s">
        <v>121</v>
      </c>
      <c r="I98" s="20">
        <f t="shared" ref="I98:I115" si="24">(J98*100)/K98</f>
        <v>28.014305306147186</v>
      </c>
      <c r="J98" s="21">
        <f t="shared" ref="J98:J114" si="25">+L98+N98+P98+R98+T98</f>
        <v>73.945999999999998</v>
      </c>
      <c r="K98" s="100">
        <f t="shared" ref="K98:K114" si="26">+M98+O98+Q98+S98+U98</f>
        <v>263.95800000000003</v>
      </c>
      <c r="L98" s="145">
        <f>+IFERROR(VLOOKUP(C98,'Nemlig Q3'!$A$2:$H$66,5,FALSE),0)</f>
        <v>73.945999999999998</v>
      </c>
      <c r="M98" s="145">
        <f>+IFERROR(VLOOKUP(C98,'Nemlig Q3'!$A$2:$H$66,8,FALSE),0)</f>
        <v>263.95800000000003</v>
      </c>
      <c r="N98" s="21" t="str">
        <f>+IFERROR(VLOOKUP(B98,'Hørkram Q3'!$B$6:$H$60,7,FALSE),"0")</f>
        <v>0</v>
      </c>
      <c r="O98" s="100" t="str">
        <f>+IFERROR(VLOOKUP(B98,'Hørkram Q3'!$B$6:$H$60,6,FALSE),"0")</f>
        <v>0</v>
      </c>
      <c r="P98" s="171"/>
      <c r="Q98" s="172"/>
      <c r="R98" s="156"/>
      <c r="S98" s="157"/>
      <c r="T98" s="184"/>
      <c r="U98" s="185"/>
    </row>
    <row r="99" spans="1:38" x14ac:dyDescent="0.35">
      <c r="A99" s="11" t="s">
        <v>28</v>
      </c>
      <c r="B99" s="35"/>
      <c r="C99" s="133">
        <v>1174958</v>
      </c>
      <c r="D99" s="133"/>
      <c r="E99" s="133"/>
      <c r="F99" s="133"/>
      <c r="G99" s="35" t="s">
        <v>171</v>
      </c>
      <c r="H99" s="35" t="s">
        <v>119</v>
      </c>
      <c r="I99" s="20" t="str">
        <f>IFERROR(((J99*100)/K99)," ")</f>
        <v xml:space="preserve"> </v>
      </c>
      <c r="J99" s="21">
        <f t="shared" si="25"/>
        <v>0</v>
      </c>
      <c r="K99" s="100">
        <f t="shared" si="26"/>
        <v>0</v>
      </c>
      <c r="L99" s="145">
        <f>+IFERROR(VLOOKUP(C99,'Nemlig Q3'!$A$2:$H$66,5,FALSE),0)</f>
        <v>0</v>
      </c>
      <c r="M99" s="145">
        <f>+IFERROR(VLOOKUP(C99,'Nemlig Q3'!$A$2:$H$66,8,FALSE),0)</f>
        <v>0</v>
      </c>
      <c r="N99" s="21" t="str">
        <f>+IFERROR(VLOOKUP(B99,'Hørkram Q3'!$B$6:$H$60,7,FALSE),"0")</f>
        <v>0</v>
      </c>
      <c r="O99" s="100" t="str">
        <f>+IFERROR(VLOOKUP(B99,'Hørkram Q3'!$B$6:$H$60,6,FALSE),"0")</f>
        <v>0</v>
      </c>
      <c r="P99" s="173"/>
      <c r="Q99" s="174"/>
      <c r="R99" s="156"/>
      <c r="S99" s="157"/>
      <c r="T99" s="184"/>
      <c r="U99" s="185"/>
    </row>
    <row r="100" spans="1:38" ht="15.5" x14ac:dyDescent="0.35">
      <c r="A100" s="11" t="s">
        <v>91</v>
      </c>
      <c r="B100" s="35">
        <v>200031514</v>
      </c>
      <c r="C100" s="133"/>
      <c r="D100" s="133"/>
      <c r="E100" s="133"/>
      <c r="F100" s="133"/>
      <c r="G100" s="35" t="s">
        <v>170</v>
      </c>
      <c r="H100" s="35" t="s">
        <v>122</v>
      </c>
      <c r="I100" s="20">
        <f t="shared" si="24"/>
        <v>56.207295252062366</v>
      </c>
      <c r="J100" s="21">
        <f t="shared" si="25"/>
        <v>1262.4670000000001</v>
      </c>
      <c r="K100" s="100">
        <f t="shared" si="26"/>
        <v>2246.0909999999999</v>
      </c>
      <c r="L100" s="145">
        <f>+IFERROR(VLOOKUP(C100,'Nemlig Q3'!$A$2:$H$66,5,FALSE),0)</f>
        <v>0</v>
      </c>
      <c r="M100" s="145">
        <f>+IFERROR(VLOOKUP(C100,'Nemlig Q3'!$A$2:$H$66,8,FALSE),0)</f>
        <v>0</v>
      </c>
      <c r="N100" s="21">
        <f>+IFERROR(VLOOKUP(B100,'Hørkram Q3'!$B$6:$H$60,7,FALSE),"0")</f>
        <v>1262.4670000000001</v>
      </c>
      <c r="O100" s="100">
        <f>+IFERROR(VLOOKUP(B100,'Hørkram Q3'!$B$6:$H$60,6,FALSE),"0")</f>
        <v>2155.0909999999999</v>
      </c>
      <c r="P100" s="171"/>
      <c r="Q100" s="172"/>
      <c r="R100" s="158"/>
      <c r="S100" s="155">
        <v>91</v>
      </c>
      <c r="T100" s="184"/>
      <c r="U100" s="185"/>
    </row>
    <row r="101" spans="1:38" ht="15.5" x14ac:dyDescent="0.35">
      <c r="A101" s="11" t="s">
        <v>92</v>
      </c>
      <c r="B101" s="35"/>
      <c r="C101" s="133">
        <v>1218014</v>
      </c>
      <c r="D101" s="133"/>
      <c r="E101" s="133"/>
      <c r="F101" s="133"/>
      <c r="G101" s="35" t="s">
        <v>171</v>
      </c>
      <c r="H101" s="35" t="s">
        <v>119</v>
      </c>
      <c r="I101" s="20">
        <f t="shared" si="24"/>
        <v>10.67885286484503</v>
      </c>
      <c r="J101" s="21">
        <f t="shared" si="25"/>
        <v>219.43899999999999</v>
      </c>
      <c r="K101" s="100">
        <f t="shared" si="26"/>
        <v>2054.893</v>
      </c>
      <c r="L101" s="145">
        <f>+IFERROR(VLOOKUP(C101,'Nemlig Q3'!$A$2:$H$66,5,FALSE),0)</f>
        <v>219.43899999999999</v>
      </c>
      <c r="M101" s="145">
        <f>+IFERROR(VLOOKUP(C101,'Nemlig Q3'!$A$2:$H$66,8,FALSE),0)</f>
        <v>2054.893</v>
      </c>
      <c r="N101" s="21" t="str">
        <f>+IFERROR(VLOOKUP(B101,'Hørkram Q3'!$B$6:$H$60,7,FALSE),"0")</f>
        <v>0</v>
      </c>
      <c r="O101" s="100" t="str">
        <f>+IFERROR(VLOOKUP(B101,'Hørkram Q3'!$B$6:$H$60,6,FALSE),"0")</f>
        <v>0</v>
      </c>
      <c r="P101" s="171"/>
      <c r="Q101" s="172"/>
      <c r="R101" s="156"/>
      <c r="S101" s="159"/>
      <c r="T101" s="184"/>
      <c r="U101" s="185"/>
    </row>
    <row r="102" spans="1:38" ht="15.5" x14ac:dyDescent="0.35">
      <c r="A102" s="11" t="s">
        <v>35</v>
      </c>
      <c r="B102" s="35">
        <v>200536224</v>
      </c>
      <c r="C102" s="133"/>
      <c r="D102" s="133"/>
      <c r="E102" s="133"/>
      <c r="F102" s="133"/>
      <c r="G102" s="35" t="s">
        <v>170</v>
      </c>
      <c r="H102" s="35" t="s">
        <v>122</v>
      </c>
      <c r="I102" s="20">
        <f t="shared" si="24"/>
        <v>60.256012562372632</v>
      </c>
      <c r="J102" s="21">
        <f t="shared" si="25"/>
        <v>1155.7760000000001</v>
      </c>
      <c r="K102" s="100">
        <f t="shared" si="26"/>
        <v>1918.1089999999999</v>
      </c>
      <c r="L102" s="145">
        <f>+IFERROR(VLOOKUP(C102,'Nemlig Q3'!$A$2:$H$66,5,FALSE),0)</f>
        <v>0</v>
      </c>
      <c r="M102" s="145">
        <f>+IFERROR(VLOOKUP(C102,'Nemlig Q3'!$A$2:$H$66,8,FALSE),0)</f>
        <v>0</v>
      </c>
      <c r="N102" s="21">
        <f>+IFERROR(VLOOKUP(B102,'Hørkram Q3'!$B$6:$H$60,7,FALSE),"0")</f>
        <v>1094.7760000000001</v>
      </c>
      <c r="O102" s="100">
        <f>+IFERROR(VLOOKUP(B102,'Hørkram Q3'!$B$6:$H$60,6,FALSE),"0")</f>
        <v>1888.1089999999999</v>
      </c>
      <c r="P102" s="171"/>
      <c r="Q102" s="172"/>
      <c r="R102" s="158">
        <v>61</v>
      </c>
      <c r="S102" s="155">
        <v>30</v>
      </c>
      <c r="T102" s="184"/>
      <c r="U102" s="185"/>
    </row>
    <row r="103" spans="1:38" ht="15.5" x14ac:dyDescent="0.35">
      <c r="A103" s="11" t="s">
        <v>115</v>
      </c>
      <c r="B103" s="35" t="s">
        <v>107</v>
      </c>
      <c r="C103" s="133"/>
      <c r="D103" s="133"/>
      <c r="E103" s="133"/>
      <c r="F103" s="133"/>
      <c r="G103" s="35" t="s">
        <v>170</v>
      </c>
      <c r="H103" s="35" t="s">
        <v>118</v>
      </c>
      <c r="I103" s="20">
        <f t="shared" si="24"/>
        <v>57.468346878380594</v>
      </c>
      <c r="J103" s="21">
        <f t="shared" si="25"/>
        <v>655.01099999999997</v>
      </c>
      <c r="K103" s="100">
        <f t="shared" si="26"/>
        <v>1139.777</v>
      </c>
      <c r="L103" s="145">
        <f>+IFERROR(VLOOKUP(C103,'Nemlig Q3'!$A$2:$H$66,5,FALSE),0)</f>
        <v>0</v>
      </c>
      <c r="M103" s="145">
        <f>+IFERROR(VLOOKUP(C103,'Nemlig Q3'!$A$2:$H$66,8,FALSE),0)</f>
        <v>0</v>
      </c>
      <c r="N103" s="21">
        <f>+'Hørkram Q3'!H48</f>
        <v>655.01099999999997</v>
      </c>
      <c r="O103" s="100">
        <f>+'Hørkram Q3'!G48</f>
        <v>1139.777</v>
      </c>
      <c r="P103" s="173"/>
      <c r="Q103" s="174"/>
      <c r="R103" s="158"/>
      <c r="S103" s="155"/>
      <c r="T103" s="184"/>
      <c r="U103" s="185"/>
    </row>
    <row r="104" spans="1:38" ht="15.5" x14ac:dyDescent="0.35">
      <c r="A104" s="11" t="s">
        <v>70</v>
      </c>
      <c r="B104" s="35"/>
      <c r="C104" s="133">
        <v>1096809</v>
      </c>
      <c r="D104" s="133"/>
      <c r="E104" s="133"/>
      <c r="F104" s="133"/>
      <c r="G104" s="35" t="s">
        <v>171</v>
      </c>
      <c r="H104" s="35" t="s">
        <v>124</v>
      </c>
      <c r="I104" s="20">
        <f t="shared" si="24"/>
        <v>13.892853440921087</v>
      </c>
      <c r="J104" s="21">
        <f t="shared" si="25"/>
        <v>34.847999999999999</v>
      </c>
      <c r="K104" s="100">
        <f t="shared" si="26"/>
        <v>250.834</v>
      </c>
      <c r="L104" s="145">
        <f>+IFERROR(VLOOKUP(C104,'Nemlig Q3'!$A$2:$H$66,5,FALSE),0)</f>
        <v>16.847999999999999</v>
      </c>
      <c r="M104" s="145">
        <f>+IFERROR(VLOOKUP(C104,'Nemlig Q3'!$A$2:$H$66,8,FALSE),0)</f>
        <v>232.834</v>
      </c>
      <c r="N104" s="21" t="str">
        <f>+IFERROR(VLOOKUP(B104,'Hørkram Q3'!$B$6:$H$60,7,FALSE),"0")</f>
        <v>0</v>
      </c>
      <c r="O104" s="100" t="str">
        <f>+IFERROR(VLOOKUP(B104,'Hørkram Q3'!$B$6:$H$60,6,FALSE),"0")</f>
        <v>0</v>
      </c>
      <c r="P104" s="171"/>
      <c r="Q104" s="172"/>
      <c r="R104" s="158">
        <v>18</v>
      </c>
      <c r="S104" s="155">
        <v>18</v>
      </c>
      <c r="T104" s="184"/>
      <c r="U104" s="185"/>
    </row>
    <row r="105" spans="1:38" x14ac:dyDescent="0.35">
      <c r="A105" s="11" t="s">
        <v>71</v>
      </c>
      <c r="B105" s="35"/>
      <c r="C105" s="133">
        <v>1216525</v>
      </c>
      <c r="D105" s="133"/>
      <c r="E105" s="133"/>
      <c r="F105" s="133"/>
      <c r="G105" s="35" t="s">
        <v>171</v>
      </c>
      <c r="H105" s="35" t="s">
        <v>121</v>
      </c>
      <c r="I105" s="20">
        <f t="shared" si="24"/>
        <v>28.132485569566093</v>
      </c>
      <c r="J105" s="21">
        <f t="shared" si="25"/>
        <v>60.484000000000002</v>
      </c>
      <c r="K105" s="100">
        <f t="shared" si="26"/>
        <v>214.99699999999999</v>
      </c>
      <c r="L105" s="145">
        <f>+IFERROR(VLOOKUP(C105,'Nemlig Q3'!$A$2:$H$66,5,FALSE),0)+'Nemlig Q3'!E24</f>
        <v>60.484000000000002</v>
      </c>
      <c r="M105" s="145">
        <f>+IFERROR(VLOOKUP(C105,'Nemlig Q3'!$A$2:$H$66,8,FALSE),0)+'Nemlig Q3'!H24</f>
        <v>214.99699999999999</v>
      </c>
      <c r="N105" s="21" t="str">
        <f>+IFERROR(VLOOKUP(B105,'Hørkram Q3'!$B$6:$H$60,7,FALSE),"0")</f>
        <v>0</v>
      </c>
      <c r="O105" s="100" t="str">
        <f>+IFERROR(VLOOKUP(B105,'Hørkram Q3'!$B$6:$H$60,6,FALSE),"0")</f>
        <v>0</v>
      </c>
      <c r="P105" s="173"/>
      <c r="Q105" s="174"/>
      <c r="R105" s="156"/>
      <c r="S105" s="157"/>
      <c r="T105" s="184"/>
      <c r="U105" s="185"/>
    </row>
    <row r="106" spans="1:38" ht="15.5" x14ac:dyDescent="0.35">
      <c r="A106" s="11" t="s">
        <v>93</v>
      </c>
      <c r="B106" s="35"/>
      <c r="C106" s="133">
        <v>1199339</v>
      </c>
      <c r="D106" s="133">
        <v>1573820</v>
      </c>
      <c r="E106" s="133"/>
      <c r="F106" s="133"/>
      <c r="G106" s="35" t="s">
        <v>171</v>
      </c>
      <c r="H106" s="35" t="s">
        <v>124</v>
      </c>
      <c r="I106" s="20">
        <f t="shared" si="24"/>
        <v>14.015613564283971</v>
      </c>
      <c r="J106" s="21">
        <f t="shared" si="25"/>
        <v>21.831</v>
      </c>
      <c r="K106" s="100">
        <f t="shared" si="26"/>
        <v>155.762</v>
      </c>
      <c r="L106" s="145">
        <f>+IFERROR(VLOOKUP(C106,'Nemlig Q3'!$A$2:$H$66,5,FALSE),0)</f>
        <v>21.831</v>
      </c>
      <c r="M106" s="145">
        <f>+IFERROR(VLOOKUP(C106,'Nemlig Q3'!$A$2:$H$66,8,FALSE),0)</f>
        <v>110.637</v>
      </c>
      <c r="N106" s="21" t="str">
        <f>+IFERROR(VLOOKUP(B106,'Hørkram Q3'!$B$6:$H$60,7,FALSE),"0")</f>
        <v>0</v>
      </c>
      <c r="O106" s="100" t="str">
        <f>+IFERROR(VLOOKUP(B106,'Hørkram Q3'!$B$6:$H$60,6,FALSE),"0")</f>
        <v>0</v>
      </c>
      <c r="P106" s="171"/>
      <c r="Q106" s="172"/>
      <c r="R106" s="156"/>
      <c r="S106" s="157">
        <v>45.125</v>
      </c>
      <c r="T106" s="184"/>
      <c r="U106" s="185"/>
    </row>
    <row r="107" spans="1:38" s="5" customFormat="1" x14ac:dyDescent="0.35">
      <c r="A107" s="11" t="s">
        <v>63</v>
      </c>
      <c r="B107" s="35"/>
      <c r="C107" s="133">
        <v>1839601</v>
      </c>
      <c r="D107" s="133"/>
      <c r="E107" s="133"/>
      <c r="F107" s="133"/>
      <c r="G107" s="35" t="s">
        <v>171</v>
      </c>
      <c r="H107" s="35" t="s">
        <v>119</v>
      </c>
      <c r="I107" s="20">
        <f t="shared" si="24"/>
        <v>26.842147937322373</v>
      </c>
      <c r="J107" s="21">
        <f t="shared" si="25"/>
        <v>129.11099999999999</v>
      </c>
      <c r="K107" s="100">
        <f t="shared" si="26"/>
        <v>481.00099999999998</v>
      </c>
      <c r="L107" s="145">
        <f>+IFERROR(VLOOKUP(C107,'Nemlig Q3'!$A$2:$H$66,5,FALSE),0)</f>
        <v>129.11099999999999</v>
      </c>
      <c r="M107" s="145">
        <f>+IFERROR(VLOOKUP(C107,'Nemlig Q3'!$A$2:$H$66,8,FALSE),0)</f>
        <v>481.00099999999998</v>
      </c>
      <c r="N107" s="21" t="str">
        <f>+IFERROR(VLOOKUP(B107,'Hørkram Q3'!$B$6:$H$60,7,FALSE),"0")</f>
        <v>0</v>
      </c>
      <c r="O107" s="100" t="str">
        <f>+IFERROR(VLOOKUP(B107,'Hørkram Q3'!$B$6:$H$60,6,FALSE),"0")</f>
        <v>0</v>
      </c>
      <c r="P107" s="173"/>
      <c r="Q107" s="174"/>
      <c r="R107" s="156"/>
      <c r="S107" s="157"/>
      <c r="T107" s="184"/>
      <c r="U107" s="185"/>
      <c r="V107" s="4"/>
      <c r="W107" s="4"/>
      <c r="X107" s="4"/>
    </row>
    <row r="108" spans="1:38" s="5" customFormat="1" x14ac:dyDescent="0.35">
      <c r="A108" s="11" t="s">
        <v>86</v>
      </c>
      <c r="B108" s="35"/>
      <c r="C108" s="133">
        <v>1123703</v>
      </c>
      <c r="D108" s="133"/>
      <c r="E108" s="133"/>
      <c r="F108" s="133"/>
      <c r="G108" s="35" t="s">
        <v>170</v>
      </c>
      <c r="H108" s="35" t="s">
        <v>118</v>
      </c>
      <c r="I108" s="20">
        <f t="shared" si="24"/>
        <v>8.4888642198015685</v>
      </c>
      <c r="J108" s="21">
        <f t="shared" si="25"/>
        <v>26.917000000000002</v>
      </c>
      <c r="K108" s="100">
        <f t="shared" si="26"/>
        <v>317.08600000000001</v>
      </c>
      <c r="L108" s="145">
        <f>+IFERROR(VLOOKUP(C108,'Nemlig Q3'!$A$2:$H$66,5,FALSE),0)</f>
        <v>26.917000000000002</v>
      </c>
      <c r="M108" s="145">
        <f>+IFERROR(VLOOKUP(C108,'Nemlig Q3'!$A$2:$H$66,8,FALSE),0)</f>
        <v>317.08600000000001</v>
      </c>
      <c r="N108" s="21" t="str">
        <f>+IFERROR(VLOOKUP(B108,'Hørkram Q3'!$B$6:$H$60,7,FALSE),"0")</f>
        <v>0</v>
      </c>
      <c r="O108" s="100" t="str">
        <f>+IFERROR(VLOOKUP(B108,'Hørkram Q3'!$B$6:$H$60,6,FALSE),"0")</f>
        <v>0</v>
      </c>
      <c r="P108" s="173"/>
      <c r="Q108" s="174"/>
      <c r="R108" s="156"/>
      <c r="S108" s="157"/>
      <c r="T108" s="184"/>
      <c r="U108" s="185"/>
      <c r="V108" s="4"/>
      <c r="W108" s="4"/>
      <c r="X108" s="4"/>
    </row>
    <row r="109" spans="1:38" s="5" customFormat="1" x14ac:dyDescent="0.35">
      <c r="A109" s="11" t="s">
        <v>87</v>
      </c>
      <c r="B109" s="35">
        <v>200033969</v>
      </c>
      <c r="C109" s="133">
        <v>2167011</v>
      </c>
      <c r="D109" s="133"/>
      <c r="E109" s="133"/>
      <c r="F109" s="133"/>
      <c r="G109" s="35" t="s">
        <v>170</v>
      </c>
      <c r="H109" s="35" t="s">
        <v>118</v>
      </c>
      <c r="I109" s="20">
        <f t="shared" si="24"/>
        <v>5.4603916535155408</v>
      </c>
      <c r="J109" s="21">
        <f t="shared" si="25"/>
        <v>49.859000000000002</v>
      </c>
      <c r="K109" s="100">
        <f t="shared" si="26"/>
        <v>913.10299999999995</v>
      </c>
      <c r="L109" s="145">
        <f>+IFERROR(VLOOKUP(C109,'Nemlig Q3'!$A$2:$H$66,5,FALSE),0)</f>
        <v>49.859000000000002</v>
      </c>
      <c r="M109" s="145">
        <f>+IFERROR(VLOOKUP(C109,'Nemlig Q3'!$A$2:$H$66,8,FALSE),0)</f>
        <v>913.10299999999995</v>
      </c>
      <c r="N109" s="21" t="str">
        <f>+IFERROR(VLOOKUP(B109,'Hørkram Q3'!$B$6:$H$60,7,FALSE),"0")</f>
        <v>0</v>
      </c>
      <c r="O109" s="100" t="str">
        <f>+IFERROR(VLOOKUP(B109,'Hørkram Q3'!$B$6:$H$60,6,FALSE),"0")</f>
        <v>0</v>
      </c>
      <c r="P109" s="173"/>
      <c r="Q109" s="174"/>
      <c r="R109" s="156"/>
      <c r="S109" s="157"/>
      <c r="T109" s="184"/>
      <c r="U109" s="185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</row>
    <row r="110" spans="1:38" ht="15.5" x14ac:dyDescent="0.35">
      <c r="A110" s="11" t="s">
        <v>179</v>
      </c>
      <c r="B110" s="35"/>
      <c r="C110" s="133">
        <v>2144619</v>
      </c>
      <c r="D110" s="133"/>
      <c r="E110" s="133"/>
      <c r="F110" s="133"/>
      <c r="G110" s="35" t="s">
        <v>171</v>
      </c>
      <c r="H110" s="35" t="s">
        <v>119</v>
      </c>
      <c r="I110" s="20">
        <f t="shared" si="24"/>
        <v>43.035757647776059</v>
      </c>
      <c r="J110" s="21">
        <f t="shared" si="25"/>
        <v>333.18799999999999</v>
      </c>
      <c r="K110" s="100">
        <f t="shared" si="26"/>
        <v>774.21199999999999</v>
      </c>
      <c r="L110" s="145">
        <f>+IFERROR(VLOOKUP(C110,'Nemlig Q3'!$A$2:$H$66,5,FALSE),0)</f>
        <v>333.18799999999999</v>
      </c>
      <c r="M110" s="145">
        <f>+IFERROR(VLOOKUP(C110,'Nemlig Q3'!$A$2:$H$66,8,FALSE),0)</f>
        <v>774.21199999999999</v>
      </c>
      <c r="N110" s="21" t="str">
        <f>+IFERROR(VLOOKUP(B110,'Hørkram Q3'!$B$6:$H$60,7,FALSE),"0")</f>
        <v>0</v>
      </c>
      <c r="O110" s="100" t="str">
        <f>+IFERROR(VLOOKUP(B110,'Hørkram Q3'!$B$6:$H$60,6,FALSE),"0")</f>
        <v>0</v>
      </c>
      <c r="P110" s="171"/>
      <c r="Q110" s="172"/>
      <c r="R110" s="156"/>
      <c r="S110" s="157"/>
      <c r="T110" s="184"/>
      <c r="U110" s="18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1:38" s="5" customFormat="1" ht="15.5" x14ac:dyDescent="0.35">
      <c r="A111" s="11" t="s">
        <v>208</v>
      </c>
      <c r="B111" s="35"/>
      <c r="C111" s="133"/>
      <c r="D111" s="133"/>
      <c r="E111" s="133"/>
      <c r="F111" s="133"/>
      <c r="G111" s="35" t="s">
        <v>171</v>
      </c>
      <c r="H111" s="35" t="s">
        <v>124</v>
      </c>
      <c r="I111" s="20">
        <f>(J111*100)/K111</f>
        <v>0</v>
      </c>
      <c r="J111" s="21">
        <f t="shared" si="25"/>
        <v>0</v>
      </c>
      <c r="K111" s="100">
        <f t="shared" si="26"/>
        <v>34.72</v>
      </c>
      <c r="L111" s="145">
        <f>+IFERROR(VLOOKUP(C111,'Nemlig Q3'!$A$2:$H$66,5,FALSE),0)</f>
        <v>0</v>
      </c>
      <c r="M111" s="145">
        <f>+IFERROR(VLOOKUP(C111,'Nemlig Q3'!$A$2:$H$66,8,FALSE),0)</f>
        <v>0</v>
      </c>
      <c r="N111" s="21" t="str">
        <f>+IFERROR(VLOOKUP(B111,'Hørkram Q3'!$B$6:$H$60,7,FALSE),"0")</f>
        <v>0</v>
      </c>
      <c r="O111" s="100" t="str">
        <f>+IFERROR(VLOOKUP(B111,'Hørkram Q3'!$B$6:$H$60,6,FALSE),"0")</f>
        <v>0</v>
      </c>
      <c r="P111" s="171"/>
      <c r="Q111" s="172"/>
      <c r="R111" s="158"/>
      <c r="S111" s="155">
        <v>34.72</v>
      </c>
      <c r="T111" s="184"/>
      <c r="U111" s="185"/>
      <c r="V111" s="4"/>
      <c r="W111" s="4"/>
      <c r="X111" s="4"/>
    </row>
    <row r="112" spans="1:38" s="5" customFormat="1" ht="15.5" x14ac:dyDescent="0.35">
      <c r="A112" s="11" t="s">
        <v>209</v>
      </c>
      <c r="B112" s="35"/>
      <c r="C112" s="133">
        <v>1004359</v>
      </c>
      <c r="D112" s="133">
        <v>2230005</v>
      </c>
      <c r="E112" s="133">
        <v>2231699</v>
      </c>
      <c r="F112" s="133">
        <v>1380376</v>
      </c>
      <c r="G112" s="35" t="s">
        <v>171</v>
      </c>
      <c r="H112" s="35" t="s">
        <v>121</v>
      </c>
      <c r="I112" s="20">
        <f t="shared" si="24"/>
        <v>17.370510504604013</v>
      </c>
      <c r="J112" s="21">
        <f t="shared" si="25"/>
        <v>33.56</v>
      </c>
      <c r="K112" s="100">
        <f t="shared" si="26"/>
        <v>193.20099999999999</v>
      </c>
      <c r="L112" s="145">
        <f>+IFERROR(VLOOKUP(C112,'Nemlig Q3'!$A$2:$H$66,5,FALSE),0)</f>
        <v>33.56</v>
      </c>
      <c r="M112" s="145">
        <f>+IFERROR(VLOOKUP(C112,'Nemlig Q3'!$A$2:$H$66,8,FALSE),0)</f>
        <v>193.20099999999999</v>
      </c>
      <c r="N112" s="21" t="str">
        <f>+IFERROR(VLOOKUP(B112,'Hørkram Q3'!$B$6:$H$60,7,FALSE),"0")</f>
        <v>0</v>
      </c>
      <c r="O112" s="100" t="str">
        <f>+IFERROR(VLOOKUP(B112,'Hørkram Q3'!$B$6:$H$60,6,FALSE),"0")</f>
        <v>0</v>
      </c>
      <c r="P112" s="173"/>
      <c r="Q112" s="174"/>
      <c r="R112" s="153"/>
      <c r="S112" s="155"/>
      <c r="T112" s="184"/>
      <c r="U112" s="185"/>
      <c r="V112" s="4"/>
      <c r="W112" s="4"/>
      <c r="X112" s="4"/>
    </row>
    <row r="113" spans="1:24" ht="15.5" x14ac:dyDescent="0.35">
      <c r="A113" s="11" t="s">
        <v>80</v>
      </c>
      <c r="B113" s="35">
        <v>200023854</v>
      </c>
      <c r="C113" s="133"/>
      <c r="D113" s="133"/>
      <c r="E113" s="133"/>
      <c r="F113" s="133"/>
      <c r="G113" s="35" t="s">
        <v>170</v>
      </c>
      <c r="H113" s="35" t="s">
        <v>119</v>
      </c>
      <c r="I113" s="20">
        <f t="shared" si="24"/>
        <v>28.015209735362873</v>
      </c>
      <c r="J113" s="21">
        <f t="shared" si="25"/>
        <v>593.83699999999999</v>
      </c>
      <c r="K113" s="100">
        <f t="shared" si="26"/>
        <v>2119.6949999999997</v>
      </c>
      <c r="L113" s="145">
        <f>+IFERROR(VLOOKUP(C113,'Nemlig Q3'!$A$2:$H$66,5,FALSE),0)</f>
        <v>0</v>
      </c>
      <c r="M113" s="145">
        <f>+IFERROR(VLOOKUP(C113,'Nemlig Q3'!$A$2:$H$66,8,FALSE),0)</f>
        <v>0</v>
      </c>
      <c r="N113" s="21">
        <f>+IFERROR(VLOOKUP(B113,'Hørkram Q3'!$B$6:$H$60,7,FALSE),"0")</f>
        <v>519.14700000000005</v>
      </c>
      <c r="O113" s="100">
        <f>+IFERROR(VLOOKUP(B113,'Hørkram Q3'!$B$6:$H$60,6,FALSE),"0")</f>
        <v>1610.155</v>
      </c>
      <c r="P113" s="173"/>
      <c r="Q113" s="174"/>
      <c r="R113" s="158">
        <v>29</v>
      </c>
      <c r="S113" s="155">
        <v>29</v>
      </c>
      <c r="T113" s="184">
        <f>13.69+32</f>
        <v>45.69</v>
      </c>
      <c r="U113" s="157">
        <f>16.09+32+432.45</f>
        <v>480.53999999999996</v>
      </c>
    </row>
    <row r="114" spans="1:24" ht="15" thickBot="1" x14ac:dyDescent="0.4">
      <c r="A114" s="108" t="s">
        <v>21</v>
      </c>
      <c r="B114" s="109">
        <v>200541495</v>
      </c>
      <c r="C114" s="36"/>
      <c r="D114" s="36"/>
      <c r="E114" s="36"/>
      <c r="F114" s="36"/>
      <c r="G114" s="36" t="s">
        <v>170</v>
      </c>
      <c r="H114" s="36" t="s">
        <v>117</v>
      </c>
      <c r="I114" s="110">
        <f t="shared" si="24"/>
        <v>95.710445463672471</v>
      </c>
      <c r="J114" s="110">
        <f t="shared" si="25"/>
        <v>1519.5889999999999</v>
      </c>
      <c r="K114" s="99">
        <f t="shared" si="26"/>
        <v>1587.694</v>
      </c>
      <c r="L114" s="145">
        <f>+IFERROR(VLOOKUP(C114,'Nemlig Q3'!$A$2:$H$64,5,FALSE),0)</f>
        <v>0</v>
      </c>
      <c r="M114" s="145">
        <f>+IFERROR(VLOOKUP(C114,'Nemlig Q3'!$A$2:$H$64,8,FALSE),0)</f>
        <v>0</v>
      </c>
      <c r="N114" s="21">
        <f>+IFERROR(VLOOKUP(B114,'Hørkram Q3'!$B$6:$H$60,7,FALSE),"0")</f>
        <v>1519.5889999999999</v>
      </c>
      <c r="O114" s="100">
        <f>+IFERROR(VLOOKUP(B114,'Hørkram Q3'!$B$6:$H$60,6,FALSE),"0")</f>
        <v>1586.694</v>
      </c>
      <c r="P114" s="173"/>
      <c r="Q114" s="174"/>
      <c r="R114" s="163"/>
      <c r="S114" s="164">
        <v>1</v>
      </c>
      <c r="T114" s="195"/>
      <c r="U114" s="196"/>
    </row>
    <row r="115" spans="1:24" s="5" customFormat="1" ht="15" thickBot="1" x14ac:dyDescent="0.4">
      <c r="A115" s="111" t="s">
        <v>60</v>
      </c>
      <c r="B115" s="112"/>
      <c r="C115" s="112"/>
      <c r="D115" s="112"/>
      <c r="E115" s="112"/>
      <c r="F115" s="112"/>
      <c r="G115" s="112"/>
      <c r="H115" s="112"/>
      <c r="I115" s="113">
        <f t="shared" si="24"/>
        <v>61.407696595395272</v>
      </c>
      <c r="J115" s="114">
        <f>L115+N115+P115+R115+T115</f>
        <v>69451.997999999978</v>
      </c>
      <c r="K115" s="115">
        <f t="shared" ref="K115" si="27">M115+O115+Q115+S115+U115</f>
        <v>113099.826</v>
      </c>
      <c r="L115" s="146">
        <f t="shared" ref="L115:U115" si="28">SUM(L5:L114)</f>
        <v>4214.7669999999998</v>
      </c>
      <c r="M115" s="147">
        <f t="shared" si="28"/>
        <v>14726.053</v>
      </c>
      <c r="N115" s="142">
        <f t="shared" si="28"/>
        <v>64337.194999999978</v>
      </c>
      <c r="O115" s="115">
        <f t="shared" si="28"/>
        <v>95796.883000000002</v>
      </c>
      <c r="P115" s="180">
        <f t="shared" si="28"/>
        <v>2</v>
      </c>
      <c r="Q115" s="142">
        <f t="shared" si="28"/>
        <v>238.91200000000001</v>
      </c>
      <c r="R115" s="165">
        <f t="shared" si="28"/>
        <v>839.40600000000006</v>
      </c>
      <c r="S115" s="113">
        <f t="shared" si="28"/>
        <v>1838.4930000000004</v>
      </c>
      <c r="T115" s="197">
        <f t="shared" si="28"/>
        <v>58.629999999999995</v>
      </c>
      <c r="U115" s="142">
        <f t="shared" si="28"/>
        <v>499.48499999999996</v>
      </c>
      <c r="V115" s="4"/>
      <c r="W115" s="4"/>
      <c r="X115" s="4"/>
    </row>
    <row r="116" spans="1:24" x14ac:dyDescent="0.35">
      <c r="A116" s="5"/>
      <c r="B116" s="81"/>
      <c r="C116" s="81"/>
      <c r="D116" s="81"/>
      <c r="E116" s="81"/>
      <c r="F116" s="81"/>
      <c r="G116" s="81"/>
      <c r="H116" s="37"/>
      <c r="I116" s="2"/>
      <c r="K116" s="97"/>
      <c r="N116" s="97"/>
      <c r="O116" s="97"/>
      <c r="R116" s="97"/>
      <c r="S116" s="97"/>
    </row>
    <row r="117" spans="1:24" x14ac:dyDescent="0.35">
      <c r="A117" s="24"/>
      <c r="B117" s="81"/>
      <c r="C117" s="81"/>
      <c r="D117" s="81"/>
      <c r="E117" s="81"/>
      <c r="F117" s="81"/>
      <c r="G117" s="81"/>
      <c r="H117" s="38"/>
      <c r="I117" s="7"/>
      <c r="K117" s="98"/>
      <c r="N117" s="97"/>
      <c r="O117" s="143"/>
      <c r="R117" s="97"/>
      <c r="S117" s="97"/>
    </row>
    <row r="118" spans="1:24" x14ac:dyDescent="0.35">
      <c r="B118" s="198"/>
      <c r="C118" s="81"/>
      <c r="D118" s="81"/>
      <c r="E118" s="81"/>
      <c r="F118" s="81"/>
      <c r="G118" s="81"/>
    </row>
    <row r="119" spans="1:24" x14ac:dyDescent="0.35">
      <c r="A119" s="25"/>
      <c r="B119" s="198"/>
      <c r="C119" s="81"/>
      <c r="D119" s="81"/>
      <c r="E119" s="81"/>
      <c r="F119" s="81"/>
      <c r="G119" s="81"/>
      <c r="H119" s="25"/>
    </row>
    <row r="120" spans="1:24" x14ac:dyDescent="0.35">
      <c r="A120" s="25"/>
      <c r="B120" s="198"/>
      <c r="C120" s="81"/>
      <c r="D120" s="81"/>
      <c r="E120" s="81"/>
      <c r="F120" s="81"/>
      <c r="G120" s="81"/>
      <c r="H120" s="25"/>
    </row>
    <row r="121" spans="1:24" x14ac:dyDescent="0.35">
      <c r="B121" s="198"/>
      <c r="C121" s="81"/>
      <c r="D121" s="81"/>
      <c r="E121" s="81"/>
      <c r="F121" s="81"/>
      <c r="G121" s="81"/>
      <c r="N121" s="97"/>
      <c r="O121" s="97"/>
    </row>
    <row r="122" spans="1:24" x14ac:dyDescent="0.35">
      <c r="B122" s="198"/>
      <c r="C122" s="81"/>
      <c r="D122" s="81"/>
      <c r="E122" s="81"/>
      <c r="F122" s="81"/>
      <c r="G122" s="81"/>
    </row>
    <row r="123" spans="1:24" x14ac:dyDescent="0.35">
      <c r="B123" s="198"/>
      <c r="C123" s="81"/>
      <c r="D123" s="81"/>
      <c r="E123" s="81"/>
      <c r="F123" s="81"/>
      <c r="G123" s="81"/>
    </row>
    <row r="124" spans="1:24" x14ac:dyDescent="0.35">
      <c r="B124" s="198"/>
      <c r="C124" s="81"/>
      <c r="D124" s="81"/>
      <c r="E124" s="81"/>
      <c r="F124" s="81"/>
      <c r="G124" s="81"/>
    </row>
    <row r="125" spans="1:24" x14ac:dyDescent="0.35">
      <c r="B125" s="198"/>
      <c r="C125" s="81"/>
      <c r="D125" s="81"/>
      <c r="E125" s="81"/>
      <c r="F125" s="81"/>
      <c r="G125" s="81"/>
    </row>
    <row r="126" spans="1:24" x14ac:dyDescent="0.35">
      <c r="B126" s="198"/>
      <c r="C126" s="81"/>
      <c r="D126" s="81"/>
      <c r="E126" s="81"/>
      <c r="F126" s="81"/>
      <c r="G126" s="81"/>
    </row>
    <row r="127" spans="1:24" x14ac:dyDescent="0.35">
      <c r="B127" s="198"/>
      <c r="C127" s="81"/>
      <c r="D127" s="81"/>
      <c r="E127" s="81"/>
      <c r="F127" s="81"/>
      <c r="G127" s="81"/>
    </row>
    <row r="128" spans="1:24" x14ac:dyDescent="0.35">
      <c r="B128" s="198"/>
      <c r="C128" s="81"/>
      <c r="D128" s="81"/>
      <c r="E128" s="81"/>
      <c r="F128" s="81"/>
      <c r="G128" s="81"/>
    </row>
    <row r="129" spans="2:7" x14ac:dyDescent="0.35">
      <c r="B129" s="198"/>
      <c r="C129" s="81"/>
      <c r="D129" s="81"/>
      <c r="E129" s="81"/>
      <c r="F129" s="81"/>
      <c r="G129" s="81"/>
    </row>
    <row r="130" spans="2:7" x14ac:dyDescent="0.35">
      <c r="B130" s="198"/>
      <c r="C130" s="81"/>
      <c r="D130" s="81"/>
      <c r="E130" s="81"/>
      <c r="F130" s="81"/>
      <c r="G130" s="81"/>
    </row>
    <row r="131" spans="2:7" x14ac:dyDescent="0.35">
      <c r="B131" s="198"/>
      <c r="C131" s="81"/>
      <c r="D131" s="81"/>
      <c r="E131" s="81"/>
      <c r="F131" s="81"/>
      <c r="G131" s="81"/>
    </row>
    <row r="132" spans="2:7" x14ac:dyDescent="0.35">
      <c r="B132" s="198"/>
      <c r="C132" s="81"/>
      <c r="D132" s="81"/>
      <c r="E132" s="81"/>
      <c r="F132" s="81"/>
      <c r="G132" s="81"/>
    </row>
    <row r="133" spans="2:7" x14ac:dyDescent="0.35">
      <c r="B133" s="198"/>
      <c r="C133" s="81"/>
      <c r="D133" s="81"/>
      <c r="E133" s="81"/>
      <c r="F133" s="81"/>
      <c r="G133" s="81"/>
    </row>
    <row r="134" spans="2:7" x14ac:dyDescent="0.35">
      <c r="B134" s="198"/>
      <c r="C134" s="81"/>
      <c r="D134" s="81"/>
      <c r="E134" s="81"/>
      <c r="F134" s="81"/>
      <c r="G134" s="81"/>
    </row>
    <row r="135" spans="2:7" x14ac:dyDescent="0.35">
      <c r="B135" s="198"/>
      <c r="C135" s="81"/>
      <c r="D135" s="81"/>
      <c r="E135" s="81"/>
      <c r="F135" s="81"/>
      <c r="G135" s="81"/>
    </row>
    <row r="136" spans="2:7" x14ac:dyDescent="0.35">
      <c r="B136" s="198"/>
      <c r="C136" s="81"/>
      <c r="D136" s="81"/>
      <c r="E136" s="81"/>
      <c r="F136" s="81"/>
      <c r="G136" s="81"/>
    </row>
    <row r="137" spans="2:7" x14ac:dyDescent="0.35">
      <c r="B137" s="198"/>
      <c r="C137" s="81"/>
      <c r="D137" s="81"/>
      <c r="E137" s="81"/>
      <c r="F137" s="81"/>
      <c r="G137" s="81"/>
    </row>
    <row r="138" spans="2:7" x14ac:dyDescent="0.35">
      <c r="B138" s="198"/>
      <c r="C138" s="81"/>
      <c r="D138" s="81"/>
      <c r="E138" s="81"/>
      <c r="F138" s="81"/>
      <c r="G138" s="81"/>
    </row>
    <row r="139" spans="2:7" x14ac:dyDescent="0.35">
      <c r="B139" s="198"/>
      <c r="C139" s="81"/>
      <c r="D139" s="81"/>
      <c r="E139" s="81"/>
      <c r="F139" s="81"/>
      <c r="G139" s="81"/>
    </row>
    <row r="140" spans="2:7" x14ac:dyDescent="0.35">
      <c r="B140" s="198"/>
      <c r="C140" s="81"/>
      <c r="D140" s="81"/>
      <c r="E140" s="81"/>
      <c r="F140" s="81"/>
      <c r="G140" s="81"/>
    </row>
    <row r="141" spans="2:7" x14ac:dyDescent="0.35">
      <c r="B141" s="198"/>
      <c r="C141" s="81"/>
      <c r="D141" s="81"/>
      <c r="E141" s="81"/>
      <c r="F141" s="81"/>
      <c r="G141" s="81"/>
    </row>
    <row r="142" spans="2:7" x14ac:dyDescent="0.35">
      <c r="B142" s="198"/>
      <c r="C142" s="81"/>
      <c r="D142" s="81"/>
      <c r="E142" s="81"/>
      <c r="F142" s="81"/>
      <c r="G142" s="81"/>
    </row>
    <row r="143" spans="2:7" x14ac:dyDescent="0.35">
      <c r="B143" s="198"/>
      <c r="C143" s="81"/>
      <c r="D143" s="81"/>
      <c r="E143" s="81"/>
      <c r="F143" s="81"/>
      <c r="G143" s="81"/>
    </row>
    <row r="144" spans="2:7" x14ac:dyDescent="0.35">
      <c r="B144" s="198"/>
      <c r="C144" s="81"/>
      <c r="D144" s="81"/>
      <c r="E144" s="81"/>
      <c r="F144" s="81"/>
      <c r="G144" s="81"/>
    </row>
    <row r="145" spans="2:7" x14ac:dyDescent="0.35">
      <c r="B145" s="198"/>
      <c r="C145" s="81"/>
      <c r="D145" s="81"/>
      <c r="E145" s="81"/>
      <c r="F145" s="81"/>
      <c r="G145" s="81"/>
    </row>
    <row r="146" spans="2:7" x14ac:dyDescent="0.35">
      <c r="B146" s="198"/>
      <c r="C146" s="81"/>
      <c r="D146" s="81"/>
      <c r="E146" s="81"/>
      <c r="F146" s="81"/>
      <c r="G146" s="81"/>
    </row>
    <row r="147" spans="2:7" x14ac:dyDescent="0.35">
      <c r="B147" s="198"/>
      <c r="C147" s="81"/>
      <c r="D147" s="81"/>
      <c r="E147" s="81"/>
      <c r="F147" s="81"/>
      <c r="G147" s="81"/>
    </row>
    <row r="148" spans="2:7" x14ac:dyDescent="0.35">
      <c r="B148" s="198"/>
      <c r="C148" s="81"/>
      <c r="D148" s="81"/>
      <c r="E148" s="81"/>
      <c r="F148" s="81"/>
      <c r="G148" s="81"/>
    </row>
    <row r="149" spans="2:7" x14ac:dyDescent="0.35">
      <c r="B149" s="198"/>
      <c r="C149" s="81"/>
      <c r="D149" s="81"/>
      <c r="E149" s="81"/>
      <c r="F149" s="81"/>
      <c r="G149" s="81"/>
    </row>
    <row r="150" spans="2:7" x14ac:dyDescent="0.35">
      <c r="B150" s="198"/>
      <c r="C150" s="81"/>
      <c r="D150" s="81"/>
      <c r="E150" s="81"/>
      <c r="F150" s="81"/>
      <c r="G150" s="81"/>
    </row>
    <row r="151" spans="2:7" x14ac:dyDescent="0.35">
      <c r="B151" s="198"/>
      <c r="C151" s="81"/>
      <c r="D151" s="81"/>
      <c r="E151" s="81"/>
      <c r="F151" s="81"/>
      <c r="G151" s="81"/>
    </row>
    <row r="152" spans="2:7" x14ac:dyDescent="0.35">
      <c r="B152" s="198"/>
      <c r="C152" s="81"/>
      <c r="D152" s="81"/>
      <c r="E152" s="81"/>
      <c r="F152" s="81"/>
      <c r="G152" s="81"/>
    </row>
    <row r="153" spans="2:7" x14ac:dyDescent="0.35">
      <c r="B153" s="198"/>
      <c r="C153" s="81"/>
      <c r="D153" s="81"/>
      <c r="E153" s="81"/>
      <c r="F153" s="81"/>
      <c r="G153" s="81"/>
    </row>
    <row r="154" spans="2:7" x14ac:dyDescent="0.35">
      <c r="B154" s="198"/>
      <c r="C154" s="81"/>
      <c r="D154" s="81"/>
      <c r="E154" s="81"/>
      <c r="F154" s="81"/>
      <c r="G154" s="81"/>
    </row>
    <row r="155" spans="2:7" x14ac:dyDescent="0.35">
      <c r="B155" s="198"/>
      <c r="C155" s="81"/>
      <c r="D155" s="81"/>
      <c r="E155" s="81"/>
      <c r="F155" s="81"/>
      <c r="G155" s="81"/>
    </row>
    <row r="156" spans="2:7" x14ac:dyDescent="0.35">
      <c r="B156" s="198"/>
      <c r="C156" s="81"/>
      <c r="D156" s="81"/>
      <c r="E156" s="81"/>
      <c r="F156" s="81"/>
      <c r="G156" s="81"/>
    </row>
    <row r="157" spans="2:7" x14ac:dyDescent="0.35">
      <c r="B157" s="198"/>
      <c r="C157" s="81"/>
      <c r="D157" s="81"/>
      <c r="E157" s="81"/>
      <c r="F157" s="81"/>
      <c r="G157" s="81"/>
    </row>
    <row r="158" spans="2:7" x14ac:dyDescent="0.35">
      <c r="B158" s="198"/>
      <c r="C158" s="81"/>
      <c r="D158" s="81"/>
      <c r="E158" s="81"/>
      <c r="F158" s="81"/>
      <c r="G158" s="81"/>
    </row>
    <row r="159" spans="2:7" x14ac:dyDescent="0.35">
      <c r="B159" s="198"/>
      <c r="C159" s="81"/>
      <c r="D159" s="81"/>
      <c r="E159" s="81"/>
      <c r="F159" s="81"/>
      <c r="G159" s="81"/>
    </row>
    <row r="160" spans="2:7" x14ac:dyDescent="0.35">
      <c r="B160" s="198"/>
      <c r="C160" s="81"/>
      <c r="D160" s="81"/>
      <c r="E160" s="81"/>
      <c r="F160" s="81"/>
      <c r="G160" s="81"/>
    </row>
    <row r="161" spans="2:7" x14ac:dyDescent="0.35">
      <c r="B161" s="198"/>
      <c r="C161" s="81"/>
      <c r="D161" s="81"/>
      <c r="E161" s="81"/>
      <c r="F161" s="81"/>
      <c r="G161" s="81"/>
    </row>
    <row r="162" spans="2:7" x14ac:dyDescent="0.35">
      <c r="B162" s="198"/>
      <c r="C162" s="81"/>
      <c r="D162" s="81"/>
      <c r="E162" s="81"/>
      <c r="F162" s="81"/>
      <c r="G162" s="81"/>
    </row>
    <row r="163" spans="2:7" x14ac:dyDescent="0.35">
      <c r="B163" s="198"/>
      <c r="C163" s="81"/>
      <c r="D163" s="81"/>
      <c r="E163" s="81"/>
      <c r="F163" s="81"/>
      <c r="G163" s="81"/>
    </row>
    <row r="164" spans="2:7" x14ac:dyDescent="0.35">
      <c r="B164" s="81"/>
      <c r="C164" s="81"/>
      <c r="D164" s="81"/>
      <c r="E164" s="81"/>
      <c r="F164" s="81"/>
      <c r="G164" s="81"/>
    </row>
    <row r="165" spans="2:7" x14ac:dyDescent="0.35">
      <c r="B165" s="81"/>
      <c r="C165" s="81"/>
      <c r="D165" s="81"/>
      <c r="E165" s="81"/>
      <c r="F165" s="81"/>
      <c r="G165" s="81"/>
    </row>
    <row r="166" spans="2:7" x14ac:dyDescent="0.35">
      <c r="B166" s="81"/>
      <c r="C166" s="81"/>
      <c r="D166" s="81"/>
      <c r="E166" s="81"/>
      <c r="F166" s="81"/>
      <c r="G166" s="81"/>
    </row>
    <row r="167" spans="2:7" x14ac:dyDescent="0.35">
      <c r="B167" s="81"/>
      <c r="C167" s="81"/>
      <c r="D167" s="81"/>
      <c r="E167" s="81"/>
      <c r="F167" s="81"/>
      <c r="G167" s="81"/>
    </row>
  </sheetData>
  <autoFilter ref="A4:AL115" xr:uid="{00000000-0001-0000-0000-000000000000}"/>
  <sortState xmlns:xlrd2="http://schemas.microsoft.com/office/spreadsheetml/2017/richdata2" ref="A5:AL114">
    <sortCondition ref="A5:A114"/>
  </sortState>
  <mergeCells count="6">
    <mergeCell ref="T3:U3"/>
    <mergeCell ref="J3:K3"/>
    <mergeCell ref="L3:M3"/>
    <mergeCell ref="N3:O3"/>
    <mergeCell ref="P3:Q3"/>
    <mergeCell ref="R3:S3"/>
  </mergeCells>
  <conditionalFormatting sqref="B1:F1048576">
    <cfRule type="duplicateValues" dxfId="0" priority="1"/>
  </conditionalFormatting>
  <pageMargins left="0.7" right="0.7" top="0.75" bottom="0.75" header="0.3" footer="0.3"/>
  <pageSetup paperSize="8" scale="7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440c41f-847c-4dc6-922d-abc56c9df52d">
      <Terms xmlns="http://schemas.microsoft.com/office/infopath/2007/PartnerControls"/>
    </lcf76f155ced4ddcb4097134ff3c332f>
    <TaxCatchAll xmlns="6e46998b-79b1-4f90-a3ff-511e4f6a0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9FF375ACC1A4445940A4C81ED94C08F" ma:contentTypeVersion="18" ma:contentTypeDescription="Opret et nyt dokument." ma:contentTypeScope="" ma:versionID="c4b4c5158f19216293c91fc250aef194">
  <xsd:schema xmlns:xsd="http://www.w3.org/2001/XMLSchema" xmlns:xs="http://www.w3.org/2001/XMLSchema" xmlns:p="http://schemas.microsoft.com/office/2006/metadata/properties" xmlns:ns2="c440c41f-847c-4dc6-922d-abc56c9df52d" xmlns:ns3="6e46998b-79b1-4f90-a3ff-511e4f6a0ff0" targetNamespace="http://schemas.microsoft.com/office/2006/metadata/properties" ma:root="true" ma:fieldsID="7b0570b0f398c2088ecfc78d98cf7397" ns2:_="" ns3:_="">
    <xsd:import namespace="c440c41f-847c-4dc6-922d-abc56c9df52d"/>
    <xsd:import namespace="6e46998b-79b1-4f90-a3ff-511e4f6a0f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c41f-847c-4dc6-922d-abc56c9df5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Billedmærker" ma:readOnly="false" ma:fieldId="{5cf76f15-5ced-4ddc-b409-7134ff3c332f}" ma:taxonomyMulti="true" ma:sspId="48038df3-9214-4da3-801a-4d7724d6db5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6998b-79b1-4f90-a3ff-511e4f6a0ff0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3276d29-cf9f-47d2-911c-2491e194bfa4}" ma:internalName="TaxCatchAll" ma:showField="CatchAllData" ma:web="6e46998b-79b1-4f90-a3ff-511e4f6a0f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B5A83D5-04C0-41BE-8DB7-11BDBFF8AF12}">
  <ds:schemaRefs>
    <ds:schemaRef ds:uri="http://schemas.microsoft.com/office/2006/metadata/properties"/>
    <ds:schemaRef ds:uri="http://schemas.microsoft.com/office/infopath/2007/PartnerControls"/>
    <ds:schemaRef ds:uri="c440c41f-847c-4dc6-922d-abc56c9df52d"/>
    <ds:schemaRef ds:uri="6e46998b-79b1-4f90-a3ff-511e4f6a0ff0"/>
  </ds:schemaRefs>
</ds:datastoreItem>
</file>

<file path=customXml/itemProps2.xml><?xml version="1.0" encoding="utf-8"?>
<ds:datastoreItem xmlns:ds="http://schemas.openxmlformats.org/officeDocument/2006/customXml" ds:itemID="{3901F9EC-0858-4CE6-9BDE-7B1CCADA0A50}"/>
</file>

<file path=customXml/itemProps3.xml><?xml version="1.0" encoding="utf-8"?>
<ds:datastoreItem xmlns:ds="http://schemas.openxmlformats.org/officeDocument/2006/customXml" ds:itemID="{C62CAD8E-2B11-4366-A9BC-1470DEC61E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Spisemærker</vt:lpstr>
      <vt:lpstr>Øko% kommunale køkk. m. smiley</vt:lpstr>
      <vt:lpstr>Øko% pr. område</vt:lpstr>
      <vt:lpstr>Hørkram Q3</vt:lpstr>
      <vt:lpstr>Nemlig Q3</vt:lpstr>
      <vt:lpstr>Øko% Alle køkkener</vt:lpstr>
    </vt:vector>
  </TitlesOfParts>
  <Company>Furesoe Kommune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thfi</dc:creator>
  <cp:lastModifiedBy>Marie Merrald</cp:lastModifiedBy>
  <cp:lastPrinted>2024-04-08T07:24:10Z</cp:lastPrinted>
  <dcterms:created xsi:type="dcterms:W3CDTF">2013-02-12T11:24:21Z</dcterms:created>
  <dcterms:modified xsi:type="dcterms:W3CDTF">2025-10-28T11:13:37Z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0x01010029FF375ACC1A4445940A4C81ED94C08F</vt:lpwstr>
  </property>
</Properties>
</file>